
<file path=[Content_Types].xml><?xml version="1.0" encoding="utf-8"?>
<Types xmlns="http://schemas.openxmlformats.org/package/2006/content-types">
  <Default ContentType="application/vnd.openxmlformats-officedocument.spreadsheetml.printerSettings" Extension="bin"/>
  <Default ContentType="image/jpeg" Extension="jpeg"/>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ml.chart+xml" PartName="/xl/charts/chart9.xml"/>
  <Override ContentType="application/vnd.openxmlformats-officedocument.drawingml.chart+xml" PartName="/xl/charts/chart10.xml"/>
  <Override ContentType="application/vnd.openxmlformats-officedocument.drawingml.chart+xml" PartName="/xl/charts/chart11.xml"/>
  <Override ContentType="application/vnd.openxmlformats-officedocument.drawingml.chart+xml" PartName="/xl/charts/chart12.xml"/>
  <Override ContentType="application/vnd.openxmlformats-officedocument.drawingml.chart+xml" PartName="/xl/charts/chart13.xml"/>
  <Override ContentType="application/vnd.openxmlformats-officedocument.drawingml.chart+xml" PartName="/xl/charts/chart14.xml"/>
  <Override ContentType="application/vnd.openxmlformats-officedocument.drawingml.chart+xml" PartName="/xl/charts/chart15.xml"/>
  <Override ContentType="application/vnd.openxmlformats-officedocument.drawingml.chart+xml" PartName="/xl/charts/chart16.xml"/>
  <Override ContentType="application/vnd.openxmlformats-officedocument.drawingml.chart+xml" PartName="/xl/charts/chart17.xml"/>
  <Override ContentType="application/vnd.openxmlformats-officedocument.drawingml.chart+xml" PartName="/xl/charts/chart18.xml"/>
  <Override ContentType="application/vnd.openxmlformats-officedocument.drawingml.chart+xml" PartName="/xl/charts/chart19.xml"/>
  <Override ContentType="application/vnd.openxmlformats-officedocument.drawingml.chart+xml" PartName="/xl/charts/chart20.xml"/>
  <Override ContentType="application/vnd.openxmlformats-officedocument.drawingml.chart+xml" PartName="/xl/charts/chart21.xml"/>
  <Override ContentType="application/vnd.openxmlformats-officedocument.drawingml.chart+xml" PartName="/xl/charts/chart22.xml"/>
  <Override ContentType="application/vnd.ms-office.chartcolorstyle+xml" PartName="/xl/charts/colors1.xml"/>
  <Override ContentType="application/vnd.ms-office.chartstyle+xml" PartName="/xl/charts/style1.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openxmlformats-officedocument.spreadsheetml.comments+xml" PartName="/xl/comments5.xml"/>
  <Override ContentType="application/vnd.openxmlformats-officedocument.spreadsheetml.comments+xml" PartName="/xl/comments6.xml"/>
  <Override ContentType="application/vnd.openxmlformats-officedocument.spreadsheetml.comments+xml" PartName="/xl/comments7.xml"/>
  <Override ContentType="application/vnd.openxmlformats-officedocument.drawing+xml" PartName="/xl/drawings/drawing1.xml"/>
  <Override ContentType="application/vnd.openxmlformats-officedocument.drawingml.chartshapes+xml" PartName="/xl/drawings/drawing2.xml"/>
  <Override ContentType="application/vnd.openxmlformats-officedocument.drawingml.chartshapes+xml" PartName="/xl/drawings/drawing3.xml"/>
  <Override ContentType="application/vnd.openxmlformats-officedocument.drawingml.chartshapes+xml" PartName="/xl/drawings/drawing4.xml"/>
  <Override ContentType="application/vnd.openxmlformats-officedocument.drawingml.chartshapes+xml" PartName="/xl/drawings/drawing5.xml"/>
  <Override ContentType="application/vnd.openxmlformats-officedocument.drawingml.chartshapes+xml" PartName="/xl/drawings/drawing6.xml"/>
  <Override ContentType="application/vnd.openxmlformats-officedocument.drawingml.chartshapes+xml" PartName="/xl/drawings/drawing7.xml"/>
  <Override ContentType="application/vnd.openxmlformats-officedocument.drawingml.chartshapes+xml" PartName="/xl/drawings/drawing8.xml"/>
  <Override ContentType="application/vnd.openxmlformats-officedocument.drawingml.chartshapes+xml" PartName="/xl/drawings/drawing9.xml"/>
  <Override ContentType="application/vnd.openxmlformats-officedocument.drawing+xml" PartName="/xl/drawings/drawing10.xml"/>
  <Override ContentType="application/vnd.openxmlformats-officedocument.drawingml.chartshapes+xml" PartName="/xl/drawings/drawing11.xml"/>
  <Override ContentType="application/vnd.openxmlformats-officedocument.drawing+xml" PartName="/xl/drawings/drawing12.xml"/>
  <Override ContentType="application/vnd.openxmlformats-officedocument.drawingml.chartshapes+xml" PartName="/xl/drawings/drawing13.xml"/>
  <Override ContentType="application/vnd.openxmlformats-officedocument.drawingml.chartshapes+xml" PartName="/xl/drawings/drawing14.xml"/>
  <Override ContentType="application/vnd.openxmlformats-officedocument.drawingml.chartshapes+xml" PartName="/xl/drawings/drawing15.xml"/>
  <Override ContentType="application/vnd.openxmlformats-officedocument.drawingml.chartshapes+xml" PartName="/xl/drawings/drawing16.xml"/>
  <Override ContentType="application/vnd.openxmlformats-officedocument.drawing+xml" PartName="/xl/drawings/drawing17.xml"/>
  <Override ContentType="application/vnd.openxmlformats-officedocument.drawingml.chartshapes+xml" PartName="/xl/drawings/drawing18.xml"/>
  <Override ContentType="application/vnd.openxmlformats-officedocument.drawingml.chartshapes+xml" PartName="/xl/drawings/drawing19.xml"/>
  <Override ContentType="application/vnd.openxmlformats-officedocument.drawingml.chartshapes+xml" PartName="/xl/drawings/drawing20.xml"/>
  <Override ContentType="application/vnd.openxmlformats-officedocument.drawingml.chartshapes+xml" PartName="/xl/drawings/drawing21.xml"/>
  <Override ContentType="application/vnd.openxmlformats-officedocument.drawing+xml" PartName="/xl/drawings/drawing22.xml"/>
  <Override ContentType="application/vnd.openxmlformats-officedocument.drawingml.chartshapes+xml" PartName="/xl/drawings/drawing23.xml"/>
  <Override ContentType="application/vnd.openxmlformats-officedocument.drawing+xml" PartName="/xl/drawings/drawing24.xml"/>
  <Override ContentType="application/vnd.openxmlformats-officedocument.drawingml.chartshapes+xml" PartName="/xl/drawings/drawing25.xml"/>
  <Override ContentType="application/vnd.openxmlformats-officedocument.drawing+xml" PartName="/xl/drawings/drawing26.xml"/>
  <Override ContentType="application/vnd.ms-excel.person+xml" PartName="/xl/persons/perso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ms-excel.threadedcomments+xml" PartName="/xl/threadedComments/threadedComment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Override ContentType="application/vnd.openxmlformats-officedocument.spreadsheetml.worksheet+xml" PartName="/xl/worksheets/sheet20.xml"/>
  <Override ContentType="application/vnd.openxmlformats-officedocument.spreadsheetml.worksheet+xml" PartName="/xl/worksheets/sheet2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mc:AlternateContent xmlns:mc="http://schemas.openxmlformats.org/markup-compatibility/2006">
    <mc:Choice Requires="x15">
      <x15ac:absPath xmlns:x15ac="http://schemas.microsoft.com/office/spreadsheetml/2010/11/ac" url="\\SS221026\Tea_Labo_Folder\23.発生予察情報\01 発生予察データ\R8\"/>
    </mc:Choice>
  </mc:AlternateContent>
  <xr:revisionPtr revIDLastSave="0" documentId="8_{1093C0B6-ADE7-4E95-9B4C-4FD4D25EBF85}" xr6:coauthVersionLast="47" xr6:coauthVersionMax="47" xr10:uidLastSave="{00000000-0000-0000-0000-000000000000}"/>
  <bookViews>
    <workbookView xWindow="-110" yWindow="-110" windowWidth="19420" windowHeight="10300" tabRatio="793" xr2:uid="{00000000-000D-0000-FFFF-FFFF00000000}"/>
  </bookViews>
  <sheets>
    <sheet name="HP用グラフ " sheetId="23" r:id="rId1"/>
    <sheet name="ハダニ野帳" sheetId="28" r:id="rId2"/>
    <sheet name="ハダニ" sheetId="2" r:id="rId3"/>
    <sheet name="ハダニ産卵" sheetId="27" r:id="rId4"/>
    <sheet name="フェロモントラップ野帳" sheetId="30" r:id="rId5"/>
    <sheet name="ホソガ" sheetId="3" r:id="rId6"/>
    <sheet name="コカクモンSE" sheetId="5" r:id="rId7"/>
    <sheet name="チャハマキ" sheetId="6" r:id="rId8"/>
    <sheet name="黄色IT野帳" sheetId="29" r:id="rId9"/>
    <sheet name="YTR" sheetId="15" r:id="rId10"/>
    <sheet name="チャトゲ" sheetId="11" r:id="rId11"/>
    <sheet name="カイガラ第1世代" sheetId="10" r:id="rId12"/>
    <sheet name="カイガラ第2世代" sheetId="33" r:id="rId13"/>
    <sheet name="病害" sheetId="9" r:id="rId14"/>
    <sheet name="その他害虫" sheetId="31" r:id="rId15"/>
    <sheet name="コカクモンAS（2019まで" sheetId="25" r:id="rId16"/>
    <sheet name="アザミウマ" sheetId="8" r:id="rId17"/>
    <sheet name="ヨコバイ" sheetId="7" r:id="rId18"/>
    <sheet name="大台" sheetId="19" r:id="rId19"/>
    <sheet name="Sheet1" sheetId="24" r:id="rId20"/>
    <sheet name="コカクモンハマキデータ（３月捕虫）" sheetId="26" r:id="rId21"/>
  </sheets>
  <definedNames>
    <definedName name="_xlnm.Print_Area" localSheetId="0">'HP用グラフ '!$A$1:$AG$165</definedName>
    <definedName name="_xlnm.Print_Area" localSheetId="16">アザミウマ!$B$2:$Z$60</definedName>
    <definedName name="_xlnm.Print_Area" localSheetId="11">カイガラ第1世代!#REF!</definedName>
    <definedName name="_xlnm.Print_Area" localSheetId="12">カイガラ第2世代!$A$2:$I$83</definedName>
    <definedName name="_xlnm.Print_Area" localSheetId="6">コカクモンSE!$B$2:$AI$61</definedName>
    <definedName name="_xlnm.Print_Area" localSheetId="2">ハダニ!$B$2:$Y$42</definedName>
    <definedName name="_xlnm.Print_Area" localSheetId="17">ヨコバイ!$B$2:$AP$76</definedName>
    <definedName name="_xlnm.Print_Area" localSheetId="8">黄色IT野帳!$B$2:$U$41</definedName>
    <definedName name="_xlnm.Print_Titles" localSheetId="11">カイガラ第1世代!$1:$5</definedName>
    <definedName name="_xlnm.Print_Titles" localSheetId="12">カイガラ第2世代!$1:$5</definedName>
    <definedName name="Z_BC749C3C_D733_4D37_8792_BBFA31845F93_.wvu.Cols" localSheetId="16" hidden="1">アザミウマ!$K:$K</definedName>
    <definedName name="Z_BC749C3C_D733_4D37_8792_BBFA31845F93_.wvu.Cols" localSheetId="6" hidden="1">コカクモンSE!$I:$I</definedName>
    <definedName name="Z_BC749C3C_D733_4D37_8792_BBFA31845F93_.wvu.Cols" localSheetId="7" hidden="1">チャハマキ!$K:$K</definedName>
    <definedName name="Z_BC749C3C_D733_4D37_8792_BBFA31845F93_.wvu.Cols" localSheetId="2" hidden="1">ハダニ!$I:$I</definedName>
    <definedName name="Z_BC749C3C_D733_4D37_8792_BBFA31845F93_.wvu.Cols" localSheetId="5" hidden="1">ホソガ!$I:$I</definedName>
    <definedName name="Z_BC749C3C_D733_4D37_8792_BBFA31845F93_.wvu.Cols" localSheetId="17" hidden="1">ヨコバイ!$K:$K</definedName>
    <definedName name="Z_BC749C3C_D733_4D37_8792_BBFA31845F93_.wvu.Cols" localSheetId="18" hidden="1">大台!$K:$K</definedName>
    <definedName name="Z_BC749C3C_D733_4D37_8792_BBFA31845F93_.wvu.PrintArea" localSheetId="16" hidden="1">アザミウマ!$B$2:$Z$60</definedName>
    <definedName name="Z_BC749C3C_D733_4D37_8792_BBFA31845F93_.wvu.PrintArea" localSheetId="6" hidden="1">コカクモンSE!$B$2:$AB$61</definedName>
    <definedName name="Z_BC749C3C_D733_4D37_8792_BBFA31845F93_.wvu.PrintArea" localSheetId="7" hidden="1">チャハマキ!$B$2:$AB$60</definedName>
    <definedName name="Z_BC749C3C_D733_4D37_8792_BBFA31845F93_.wvu.PrintArea" localSheetId="2" hidden="1">ハダニ!$B$2:$Z$42</definedName>
    <definedName name="Z_BC749C3C_D733_4D37_8792_BBFA31845F93_.wvu.PrintArea" localSheetId="5" hidden="1">ホソガ!$B$2:$Z$61</definedName>
    <definedName name="Z_BC749C3C_D733_4D37_8792_BBFA31845F93_.wvu.PrintArea" localSheetId="17" hidden="1">ヨコバイ!$B$2:$Z$76</definedName>
    <definedName name="Z_BC749C3C_D733_4D37_8792_BBFA31845F93_.wvu.PrintArea" localSheetId="18" hidden="1">大台!$B$2:$AB$60</definedName>
  </definedNames>
  <calcPr calcId="191029"/>
  <customWorkbookViews>
    <customWorkbookView name="三重県 - 個人用ビュー" guid="{BC749C3C-D733-4D37-8792-BBFA31845F93}" mergeInterval="0" personalView="1" maximized="1" windowWidth="1020" windowHeight="581" tabRatio="793"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149" i="29" l="1"/>
  <c r="S149" i="29"/>
  <c r="Q149" i="29"/>
  <c r="I145" i="30"/>
  <c r="G145" i="30"/>
  <c r="E145" i="30"/>
  <c r="I140" i="30"/>
  <c r="G140" i="30"/>
  <c r="E140" i="30"/>
  <c r="U144" i="29"/>
  <c r="S144" i="29"/>
  <c r="Q144" i="29"/>
  <c r="I135" i="30"/>
  <c r="G135" i="30"/>
  <c r="E135" i="30"/>
  <c r="I130" i="30"/>
  <c r="G130" i="30"/>
  <c r="E130" i="30"/>
  <c r="I116" i="30"/>
  <c r="G116" i="30"/>
  <c r="E116" i="30"/>
  <c r="I110" i="30"/>
  <c r="G110" i="30"/>
  <c r="E110" i="30"/>
  <c r="I105" i="30"/>
  <c r="G105" i="30"/>
  <c r="E105" i="30"/>
  <c r="I88" i="10"/>
  <c r="I100" i="30"/>
  <c r="G100" i="30"/>
  <c r="E100" i="30"/>
  <c r="I95" i="30"/>
  <c r="G95" i="30"/>
  <c r="E95" i="30"/>
  <c r="I90" i="30"/>
  <c r="G90" i="30"/>
  <c r="E90" i="30"/>
  <c r="I76" i="30"/>
  <c r="G76" i="30"/>
  <c r="E76" i="30"/>
  <c r="I70" i="30"/>
  <c r="G70" i="30"/>
  <c r="E70" i="30"/>
  <c r="I65" i="30"/>
  <c r="G65" i="30"/>
  <c r="E65" i="30"/>
  <c r="I60" i="30"/>
  <c r="G60" i="30"/>
  <c r="E60" i="30"/>
  <c r="I55" i="30" l="1"/>
  <c r="G55" i="30"/>
  <c r="E55" i="30"/>
  <c r="I50" i="30"/>
  <c r="G50" i="30"/>
  <c r="E50" i="30"/>
  <c r="I36" i="30" l="1"/>
  <c r="G36" i="30"/>
  <c r="E36" i="30"/>
  <c r="U37" i="29"/>
  <c r="S37" i="29"/>
  <c r="Q37" i="29"/>
  <c r="AZ20" i="3"/>
  <c r="I30" i="30" l="1"/>
  <c r="G30" i="30"/>
  <c r="E30" i="30" l="1"/>
  <c r="I25" i="30"/>
  <c r="G25" i="30"/>
  <c r="E25" i="30"/>
  <c r="I20" i="30" l="1"/>
  <c r="G20" i="30"/>
  <c r="E20" i="30"/>
  <c r="I15" i="30"/>
  <c r="G15" i="30"/>
  <c r="E15" i="30"/>
  <c r="AT1" i="3" l="1"/>
  <c r="I10" i="30"/>
  <c r="G10" i="30"/>
  <c r="E10" i="30"/>
  <c r="I83" i="33"/>
  <c r="H82" i="33"/>
  <c r="G82" i="33"/>
  <c r="F82" i="33"/>
  <c r="H81" i="33"/>
  <c r="G81" i="33"/>
  <c r="F81" i="33"/>
  <c r="H80" i="33"/>
  <c r="G80" i="33"/>
  <c r="F80" i="33"/>
  <c r="H79" i="33"/>
  <c r="G79" i="33"/>
  <c r="F79" i="33"/>
  <c r="H87" i="10"/>
  <c r="G87" i="10"/>
  <c r="F87" i="10"/>
  <c r="H86" i="10"/>
  <c r="G86" i="10"/>
  <c r="F86" i="10"/>
  <c r="H85" i="10"/>
  <c r="G85" i="10"/>
  <c r="F85" i="10"/>
  <c r="H84" i="10"/>
  <c r="G84" i="10"/>
  <c r="F84" i="10"/>
  <c r="H83" i="10"/>
  <c r="G83" i="10"/>
  <c r="F83" i="10"/>
  <c r="H78" i="33"/>
  <c r="G78" i="33"/>
  <c r="F78" i="33"/>
  <c r="H77" i="33"/>
  <c r="G77" i="33"/>
  <c r="F77" i="33"/>
  <c r="H76" i="33"/>
  <c r="G76" i="33"/>
  <c r="F76" i="33"/>
  <c r="H75" i="33"/>
  <c r="G75" i="33"/>
  <c r="F75" i="33"/>
  <c r="H74" i="33"/>
  <c r="G74" i="33"/>
  <c r="F74" i="33"/>
  <c r="H73" i="33"/>
  <c r="G73" i="33"/>
  <c r="F73" i="33"/>
  <c r="H72" i="33"/>
  <c r="G72" i="33"/>
  <c r="F72" i="33"/>
  <c r="H71" i="33"/>
  <c r="G71" i="33"/>
  <c r="F71" i="33"/>
  <c r="H70" i="33"/>
  <c r="G70" i="33"/>
  <c r="F70" i="33"/>
  <c r="H69" i="33"/>
  <c r="G69" i="33"/>
  <c r="F69" i="33"/>
  <c r="H68" i="33"/>
  <c r="G68" i="33"/>
  <c r="F68" i="33"/>
  <c r="H67" i="33"/>
  <c r="G67" i="33"/>
  <c r="F67" i="33"/>
  <c r="H66" i="33"/>
  <c r="G66" i="33"/>
  <c r="F66" i="33"/>
  <c r="H65" i="33"/>
  <c r="G65" i="33"/>
  <c r="F65" i="33"/>
  <c r="H64" i="33"/>
  <c r="G64" i="33"/>
  <c r="F64" i="33"/>
  <c r="H63" i="33"/>
  <c r="G63" i="33"/>
  <c r="F63" i="33"/>
  <c r="H62" i="33"/>
  <c r="G62" i="33"/>
  <c r="F62" i="33"/>
  <c r="H61" i="33"/>
  <c r="G61" i="33"/>
  <c r="F61" i="33"/>
  <c r="H60" i="33"/>
  <c r="G60" i="33"/>
  <c r="F60" i="33"/>
  <c r="H59" i="33"/>
  <c r="G59" i="33"/>
  <c r="F59" i="33"/>
  <c r="H58" i="33"/>
  <c r="G58" i="33"/>
  <c r="F58" i="33"/>
  <c r="H57" i="33"/>
  <c r="G57" i="33"/>
  <c r="F57" i="33"/>
  <c r="H56" i="33"/>
  <c r="G56" i="33"/>
  <c r="F56" i="33"/>
  <c r="H55" i="33"/>
  <c r="G55" i="33"/>
  <c r="F55" i="33"/>
  <c r="H54" i="33"/>
  <c r="G54" i="33"/>
  <c r="F54" i="33"/>
  <c r="H53" i="33"/>
  <c r="G53" i="33"/>
  <c r="F53" i="33"/>
  <c r="H52" i="33"/>
  <c r="G52" i="33"/>
  <c r="F52" i="33"/>
  <c r="H51" i="33"/>
  <c r="G51" i="33"/>
  <c r="F51" i="33"/>
  <c r="H50" i="33"/>
  <c r="G50" i="33"/>
  <c r="F50" i="33"/>
  <c r="H49" i="33"/>
  <c r="G49" i="33"/>
  <c r="F49" i="33"/>
  <c r="H48" i="33"/>
  <c r="G48" i="33"/>
  <c r="F48" i="33"/>
  <c r="H47" i="33"/>
  <c r="G47" i="33"/>
  <c r="F47" i="33"/>
  <c r="H46" i="33"/>
  <c r="G46" i="33"/>
  <c r="F46" i="33"/>
  <c r="H45" i="33"/>
  <c r="G45" i="33"/>
  <c r="F45" i="33"/>
  <c r="H44" i="33"/>
  <c r="G44" i="33"/>
  <c r="F44" i="33"/>
  <c r="H43" i="33"/>
  <c r="G43" i="33"/>
  <c r="F43" i="33"/>
  <c r="H42" i="33"/>
  <c r="G42" i="33"/>
  <c r="F42" i="33"/>
  <c r="H41" i="33"/>
  <c r="G41" i="33"/>
  <c r="F41" i="33"/>
  <c r="H24" i="33"/>
  <c r="F24" i="33"/>
  <c r="H23" i="33"/>
  <c r="F23" i="33"/>
  <c r="F22" i="33"/>
  <c r="F21" i="33"/>
  <c r="H20" i="33"/>
  <c r="F20" i="33"/>
  <c r="F19" i="33"/>
  <c r="F18" i="33"/>
  <c r="H13" i="33"/>
  <c r="F13" i="33"/>
  <c r="F12" i="33"/>
  <c r="F11" i="33"/>
  <c r="E6" i="15"/>
  <c r="D6" i="15"/>
  <c r="F7" i="15" s="1"/>
  <c r="E61" i="5"/>
  <c r="E60" i="5"/>
  <c r="E59" i="5"/>
  <c r="E58" i="5"/>
  <c r="E57" i="5"/>
  <c r="E56" i="5"/>
  <c r="E55" i="5"/>
  <c r="E54" i="5"/>
  <c r="E53" i="5"/>
  <c r="E52" i="5"/>
  <c r="E51" i="5"/>
  <c r="E50" i="5"/>
  <c r="E49" i="5"/>
  <c r="E48" i="5"/>
  <c r="E47" i="5"/>
  <c r="E46" i="5"/>
  <c r="E45" i="5"/>
  <c r="E44" i="5"/>
  <c r="E43" i="5"/>
  <c r="E42" i="5"/>
  <c r="E41" i="5"/>
  <c r="E40" i="5"/>
  <c r="E39" i="5"/>
  <c r="E38" i="5"/>
  <c r="E37" i="5"/>
  <c r="E36" i="5"/>
  <c r="E35" i="5"/>
  <c r="E34" i="5"/>
  <c r="E33" i="5"/>
  <c r="E32" i="5"/>
  <c r="E31" i="5"/>
  <c r="E30" i="5"/>
  <c r="E29" i="5"/>
  <c r="E28" i="5"/>
  <c r="E27" i="5"/>
  <c r="E26" i="5"/>
  <c r="E25" i="5"/>
  <c r="E24" i="5"/>
  <c r="E23" i="5"/>
  <c r="E22" i="5"/>
  <c r="E21" i="5"/>
  <c r="E20" i="5"/>
  <c r="E19" i="5"/>
  <c r="E18" i="5"/>
  <c r="E17" i="5"/>
  <c r="E16" i="5"/>
  <c r="E15" i="5"/>
  <c r="E14" i="5"/>
  <c r="E13" i="5"/>
  <c r="E12" i="5"/>
  <c r="E11" i="5"/>
  <c r="E10" i="5"/>
  <c r="E9" i="5"/>
  <c r="E8" i="5"/>
  <c r="E8" i="3"/>
  <c r="R359" i="29" l="1"/>
  <c r="T359" i="29"/>
  <c r="R360" i="29"/>
  <c r="T360" i="29"/>
  <c r="R361" i="29"/>
  <c r="T361" i="29"/>
  <c r="R362" i="29"/>
  <c r="T362" i="29"/>
  <c r="R363" i="29"/>
  <c r="T363" i="29"/>
  <c r="R364" i="29"/>
  <c r="T364" i="29"/>
  <c r="R365" i="29"/>
  <c r="T365" i="29"/>
  <c r="R366" i="29"/>
  <c r="T366" i="29"/>
  <c r="R367" i="29"/>
  <c r="T367" i="29"/>
  <c r="R368" i="29"/>
  <c r="T368" i="29"/>
  <c r="R369" i="29"/>
  <c r="T369" i="29"/>
  <c r="R103" i="29" l="1"/>
  <c r="AU214" i="28" l="1"/>
  <c r="AA68" i="11" l="1"/>
  <c r="Z68" i="11"/>
  <c r="Y68" i="11"/>
  <c r="X68" i="11"/>
  <c r="W68" i="11"/>
  <c r="V68" i="11"/>
  <c r="U68" i="11"/>
  <c r="T68" i="11"/>
  <c r="S68" i="11"/>
  <c r="R68" i="11"/>
  <c r="H82" i="10" l="1"/>
  <c r="G82" i="10"/>
  <c r="F82" i="10"/>
  <c r="H81" i="10"/>
  <c r="G81" i="10"/>
  <c r="F81" i="10"/>
  <c r="AK2" i="5"/>
  <c r="AJ2" i="5"/>
  <c r="E11" i="3" l="1"/>
  <c r="H80" i="10" l="1"/>
  <c r="G80" i="10"/>
  <c r="F80" i="10"/>
  <c r="H79" i="10"/>
  <c r="G79" i="10"/>
  <c r="F79" i="10"/>
  <c r="H78" i="10"/>
  <c r="G78" i="10"/>
  <c r="F78" i="10"/>
  <c r="O5" i="27"/>
  <c r="O11" i="27"/>
  <c r="O8" i="27"/>
  <c r="O6" i="27"/>
  <c r="O7" i="27"/>
  <c r="O9" i="27"/>
  <c r="O10" i="27"/>
  <c r="O12" i="27"/>
  <c r="O13" i="27"/>
  <c r="O14" i="27"/>
  <c r="O15" i="27"/>
  <c r="O16" i="27"/>
  <c r="E7" i="2"/>
  <c r="E38" i="2"/>
  <c r="E40" i="2"/>
  <c r="E41" i="2"/>
  <c r="E42" i="2"/>
  <c r="H77" i="10" l="1"/>
  <c r="H76" i="10"/>
  <c r="H75" i="10"/>
  <c r="G77" i="10"/>
  <c r="G76" i="10"/>
  <c r="G75" i="10"/>
  <c r="F77" i="10"/>
  <c r="F76" i="10"/>
  <c r="F75" i="10"/>
  <c r="P26" i="29" l="1"/>
  <c r="F13" i="15" l="1"/>
  <c r="AI7" i="28" l="1"/>
  <c r="P365" i="29" l="1"/>
  <c r="P298" i="29" l="1"/>
  <c r="P294" i="29"/>
  <c r="R294" i="29"/>
  <c r="T294" i="29"/>
  <c r="T284" i="29" l="1"/>
  <c r="R284" i="29"/>
  <c r="P284" i="29"/>
  <c r="P211" i="29" l="1"/>
  <c r="C219" i="28"/>
  <c r="AF2" i="5" l="1"/>
  <c r="AG2" i="5"/>
  <c r="AH2" i="5"/>
  <c r="AI2" i="5"/>
  <c r="AL2" i="5"/>
  <c r="AM2" i="5"/>
  <c r="AN2" i="5"/>
  <c r="AP2" i="5"/>
  <c r="AQ2" i="5"/>
  <c r="AO2" i="5"/>
  <c r="AM2" i="3"/>
  <c r="AN2" i="3"/>
  <c r="AO2" i="3"/>
  <c r="AP2" i="3"/>
  <c r="AQ2" i="3"/>
  <c r="AR2" i="3"/>
  <c r="AT2" i="3"/>
  <c r="AU2" i="3"/>
  <c r="AV2" i="3"/>
  <c r="AS2" i="3"/>
  <c r="G74" i="10" l="1"/>
  <c r="F74" i="10"/>
  <c r="H74" i="10"/>
  <c r="E8" i="2" l="1"/>
  <c r="E9" i="2"/>
  <c r="E10" i="2"/>
  <c r="E11" i="2"/>
  <c r="E12" i="2"/>
  <c r="E13" i="2"/>
  <c r="E14" i="2"/>
  <c r="E15" i="2"/>
  <c r="E16" i="2"/>
  <c r="E17" i="2"/>
  <c r="E18" i="2"/>
  <c r="E19" i="2"/>
  <c r="E20" i="2"/>
  <c r="E21" i="2"/>
  <c r="E22" i="2"/>
  <c r="E23" i="2"/>
  <c r="E24" i="2"/>
  <c r="E25" i="2"/>
  <c r="E26" i="2"/>
  <c r="E27" i="2"/>
  <c r="E28" i="2"/>
  <c r="E29" i="2"/>
  <c r="E31" i="2"/>
  <c r="E32" i="2"/>
  <c r="E33" i="2"/>
  <c r="E34" i="2"/>
  <c r="E35" i="2"/>
  <c r="E36" i="2"/>
  <c r="E37" i="2"/>
  <c r="E39" i="2"/>
  <c r="E9" i="3"/>
  <c r="E10" i="3"/>
  <c r="E13" i="3"/>
  <c r="E14" i="3"/>
  <c r="E15" i="3"/>
  <c r="E16" i="3"/>
  <c r="E17" i="3"/>
  <c r="E18" i="3"/>
  <c r="E19" i="3"/>
  <c r="E20" i="3"/>
  <c r="E21" i="3"/>
  <c r="E22" i="3"/>
  <c r="E23" i="3"/>
  <c r="E24" i="3"/>
  <c r="E25" i="3"/>
  <c r="E26" i="3"/>
  <c r="E27" i="3"/>
  <c r="E28" i="3"/>
  <c r="E29" i="3"/>
  <c r="E30" i="3"/>
  <c r="E31" i="3"/>
  <c r="E32" i="3"/>
  <c r="E33" i="3"/>
  <c r="E34" i="3"/>
  <c r="E35" i="3"/>
  <c r="E36" i="3"/>
  <c r="E37" i="3"/>
  <c r="E38" i="3"/>
  <c r="E39" i="3"/>
  <c r="E40" i="3"/>
  <c r="E41" i="3"/>
  <c r="E42" i="3"/>
  <c r="E43" i="3"/>
  <c r="E44" i="3"/>
  <c r="E45" i="3"/>
  <c r="E46" i="3"/>
  <c r="E47" i="3"/>
  <c r="E48" i="3"/>
  <c r="E49" i="3"/>
  <c r="E50" i="3"/>
  <c r="E51" i="3"/>
  <c r="E52" i="3"/>
  <c r="E53" i="3"/>
  <c r="E54" i="3"/>
  <c r="E55" i="3"/>
  <c r="E56" i="3"/>
  <c r="E57" i="3"/>
  <c r="E58" i="3"/>
  <c r="E59" i="3"/>
  <c r="E60" i="3"/>
  <c r="E61" i="3"/>
  <c r="F7" i="6"/>
  <c r="F8" i="6"/>
  <c r="F9" i="6"/>
  <c r="F10" i="6"/>
  <c r="F11" i="6"/>
  <c r="F12" i="6"/>
  <c r="J41" i="9" l="1"/>
  <c r="J6" i="9"/>
  <c r="Z6" i="9"/>
  <c r="O6" i="9"/>
  <c r="S6" i="9"/>
  <c r="D6" i="9"/>
  <c r="E59" i="11" l="1"/>
  <c r="E8" i="11"/>
  <c r="E9" i="11"/>
  <c r="E10" i="11"/>
  <c r="E11" i="11"/>
  <c r="E14" i="11"/>
  <c r="E15" i="11"/>
  <c r="E16" i="11"/>
  <c r="E17" i="11"/>
  <c r="E18" i="11"/>
  <c r="E19" i="11"/>
  <c r="E20" i="11"/>
  <c r="E21" i="11"/>
  <c r="E22" i="11"/>
  <c r="E23" i="11"/>
  <c r="E24" i="11"/>
  <c r="E25" i="11"/>
  <c r="E26" i="11"/>
  <c r="E27" i="11"/>
  <c r="E28" i="11"/>
  <c r="E29" i="11"/>
  <c r="E30" i="11"/>
  <c r="E31" i="11"/>
  <c r="E32" i="11"/>
  <c r="E33" i="11"/>
  <c r="E34" i="11"/>
  <c r="E35" i="11"/>
  <c r="E36" i="11"/>
  <c r="E37" i="11"/>
  <c r="E38" i="11"/>
  <c r="E39" i="11"/>
  <c r="E40" i="11"/>
  <c r="E41" i="11"/>
  <c r="E42" i="11"/>
  <c r="E43" i="11"/>
  <c r="E44" i="11"/>
  <c r="E45" i="11"/>
  <c r="E46" i="11"/>
  <c r="E47" i="11"/>
  <c r="E48" i="11"/>
  <c r="E49" i="11"/>
  <c r="E50" i="11"/>
  <c r="E51" i="11"/>
  <c r="E52" i="11"/>
  <c r="E53" i="11"/>
  <c r="E54" i="11"/>
  <c r="E55" i="11"/>
  <c r="E56" i="11"/>
  <c r="E57" i="11"/>
  <c r="E58" i="11"/>
  <c r="E7" i="11"/>
  <c r="E6" i="11"/>
  <c r="H330" i="29"/>
  <c r="H289" i="29"/>
  <c r="H248" i="29"/>
  <c r="H207" i="29"/>
  <c r="H166" i="29"/>
  <c r="H125" i="29"/>
  <c r="H84" i="29"/>
  <c r="H43" i="29"/>
  <c r="G8" i="15"/>
  <c r="G9" i="15"/>
  <c r="G10" i="15"/>
  <c r="G11" i="15"/>
  <c r="G12" i="15"/>
  <c r="G13" i="15"/>
  <c r="G14" i="15"/>
  <c r="G15" i="15"/>
  <c r="G16" i="15"/>
  <c r="G17" i="15"/>
  <c r="G18" i="15"/>
  <c r="G19" i="15"/>
  <c r="G20" i="15"/>
  <c r="G21" i="15"/>
  <c r="G22" i="15"/>
  <c r="G23" i="15"/>
  <c r="G24" i="15"/>
  <c r="G25" i="15"/>
  <c r="G26" i="15"/>
  <c r="G27" i="15"/>
  <c r="G28" i="15"/>
  <c r="G29" i="15"/>
  <c r="G30" i="15"/>
  <c r="G31" i="15"/>
  <c r="G32" i="15"/>
  <c r="G33" i="15"/>
  <c r="G35" i="15"/>
  <c r="G36" i="15"/>
  <c r="G37" i="15"/>
  <c r="G38" i="15"/>
  <c r="G39" i="15"/>
  <c r="G40" i="15"/>
  <c r="G41" i="15"/>
  <c r="G42" i="15"/>
  <c r="G43" i="15"/>
  <c r="G44" i="15"/>
  <c r="G45" i="15"/>
  <c r="G46" i="15"/>
  <c r="G47" i="15"/>
  <c r="G48" i="15"/>
  <c r="G49" i="15"/>
  <c r="G50" i="15"/>
  <c r="G51" i="15"/>
  <c r="G52" i="15"/>
  <c r="G53" i="15"/>
  <c r="G54" i="15"/>
  <c r="G55" i="15"/>
  <c r="G56" i="15"/>
  <c r="G57" i="15"/>
  <c r="G58" i="15"/>
  <c r="G59" i="15"/>
  <c r="G60" i="15"/>
  <c r="G7" i="15"/>
  <c r="F8" i="15"/>
  <c r="F9" i="15"/>
  <c r="F10" i="15"/>
  <c r="F11" i="15"/>
  <c r="F12" i="15"/>
  <c r="F14" i="15"/>
  <c r="F15" i="15"/>
  <c r="F16" i="15"/>
  <c r="F17" i="15"/>
  <c r="F18" i="15"/>
  <c r="F19" i="15"/>
  <c r="F20" i="15"/>
  <c r="F21" i="15"/>
  <c r="F22" i="15"/>
  <c r="F23" i="15"/>
  <c r="F24" i="15"/>
  <c r="F25" i="15"/>
  <c r="F26" i="15"/>
  <c r="F27" i="15"/>
  <c r="F28" i="15"/>
  <c r="F29" i="15"/>
  <c r="F30" i="15"/>
  <c r="F31" i="15"/>
  <c r="F32" i="15"/>
  <c r="F33" i="15"/>
  <c r="F35" i="15"/>
  <c r="F36" i="15"/>
  <c r="F37" i="15"/>
  <c r="F38" i="15"/>
  <c r="F39" i="15"/>
  <c r="F40" i="15"/>
  <c r="F41" i="15"/>
  <c r="F42" i="15"/>
  <c r="F43" i="15"/>
  <c r="F44" i="15"/>
  <c r="F45" i="15"/>
  <c r="F46" i="15"/>
  <c r="F47" i="15"/>
  <c r="F48" i="15"/>
  <c r="F49" i="15"/>
  <c r="F50" i="15"/>
  <c r="F51" i="15"/>
  <c r="F52" i="15"/>
  <c r="F53" i="15"/>
  <c r="F54" i="15"/>
  <c r="F55" i="15"/>
  <c r="F56" i="15"/>
  <c r="F57" i="15"/>
  <c r="F58" i="15"/>
  <c r="F59" i="15"/>
  <c r="F60" i="15"/>
  <c r="F27" i="6" l="1"/>
  <c r="F28" i="6"/>
  <c r="F29" i="6"/>
  <c r="F30" i="6"/>
  <c r="F31" i="6"/>
  <c r="F32" i="6"/>
  <c r="F33" i="6"/>
  <c r="F34" i="6"/>
  <c r="F35" i="6"/>
  <c r="F36" i="6"/>
  <c r="F37" i="6"/>
  <c r="F38" i="6"/>
  <c r="F39" i="6"/>
  <c r="F40" i="6"/>
  <c r="F41" i="6"/>
  <c r="F42" i="6"/>
  <c r="F43" i="6"/>
  <c r="F44" i="6"/>
  <c r="F45" i="6"/>
  <c r="F46" i="6"/>
  <c r="F47" i="6"/>
  <c r="F48" i="6"/>
  <c r="F49" i="6"/>
  <c r="F50" i="6"/>
  <c r="F51" i="6"/>
  <c r="F52" i="6"/>
  <c r="F53" i="6"/>
  <c r="F54" i="6"/>
  <c r="F55" i="6"/>
  <c r="F56" i="6"/>
  <c r="F57" i="6"/>
  <c r="F58" i="6"/>
  <c r="F59" i="6"/>
  <c r="F60" i="6"/>
  <c r="F13" i="6"/>
  <c r="F14" i="6"/>
  <c r="F15" i="6"/>
  <c r="F16" i="6"/>
  <c r="F17" i="6"/>
  <c r="F18" i="6"/>
  <c r="F19" i="6"/>
  <c r="F20" i="6"/>
  <c r="F21" i="6"/>
  <c r="F22" i="6"/>
  <c r="F23" i="6"/>
  <c r="F24" i="6"/>
  <c r="F25" i="6"/>
  <c r="F26" i="6"/>
  <c r="B322" i="30" l="1"/>
  <c r="B282" i="30"/>
  <c r="B242" i="30"/>
  <c r="B202" i="30"/>
  <c r="B162" i="30"/>
  <c r="B122" i="30"/>
  <c r="B82" i="30"/>
  <c r="B42" i="30"/>
  <c r="BD350" i="28"/>
  <c r="BC350" i="28"/>
  <c r="BB350" i="28"/>
  <c r="BA350" i="28"/>
  <c r="AZ350" i="28"/>
  <c r="AY350" i="28"/>
  <c r="AX350" i="28"/>
  <c r="AW350" i="28"/>
  <c r="AV350" i="28"/>
  <c r="AU350" i="28"/>
  <c r="AH350" i="28"/>
  <c r="AG350" i="28"/>
  <c r="AF350" i="28"/>
  <c r="AE350" i="28"/>
  <c r="AD350" i="28"/>
  <c r="AC350" i="28"/>
  <c r="AB350" i="28"/>
  <c r="AA350" i="28"/>
  <c r="Z350" i="28"/>
  <c r="Y350" i="28"/>
  <c r="L350" i="28"/>
  <c r="K350" i="28"/>
  <c r="J350" i="28"/>
  <c r="I350" i="28"/>
  <c r="H350" i="28"/>
  <c r="G350" i="28"/>
  <c r="F350" i="28"/>
  <c r="E350" i="28"/>
  <c r="D350" i="28"/>
  <c r="C350" i="28"/>
  <c r="BH346" i="28"/>
  <c r="BG346" i="28"/>
  <c r="BF346" i="28"/>
  <c r="BI346" i="28" s="1"/>
  <c r="BE346" i="28"/>
  <c r="AM346" i="28"/>
  <c r="AL346" i="28"/>
  <c r="AK346" i="28"/>
  <c r="AJ346" i="28"/>
  <c r="AI346" i="28"/>
  <c r="P346" i="28"/>
  <c r="O346" i="28"/>
  <c r="N346" i="28"/>
  <c r="Q346" i="28" s="1"/>
  <c r="M346" i="28"/>
  <c r="BD345" i="28"/>
  <c r="BC345" i="28"/>
  <c r="BB345" i="28"/>
  <c r="BA345" i="28"/>
  <c r="AZ345" i="28"/>
  <c r="AY345" i="28"/>
  <c r="AX345" i="28"/>
  <c r="AW345" i="28"/>
  <c r="AV345" i="28"/>
  <c r="AU345" i="28"/>
  <c r="AH345" i="28"/>
  <c r="AG345" i="28"/>
  <c r="AF345" i="28"/>
  <c r="AE345" i="28"/>
  <c r="AD345" i="28"/>
  <c r="AC345" i="28"/>
  <c r="AB345" i="28"/>
  <c r="AA345" i="28"/>
  <c r="Z345" i="28"/>
  <c r="Y345" i="28"/>
  <c r="L345" i="28"/>
  <c r="K345" i="28"/>
  <c r="J345" i="28"/>
  <c r="I345" i="28"/>
  <c r="H345" i="28"/>
  <c r="G345" i="28"/>
  <c r="F345" i="28"/>
  <c r="E345" i="28"/>
  <c r="D345" i="28"/>
  <c r="C345" i="28"/>
  <c r="BI341" i="28"/>
  <c r="BH341" i="28"/>
  <c r="BG341" i="28"/>
  <c r="BF341" i="28"/>
  <c r="BE341" i="28"/>
  <c r="AL341" i="28"/>
  <c r="AK341" i="28"/>
  <c r="AJ341" i="28"/>
  <c r="AM341" i="28" s="1"/>
  <c r="AI341" i="28"/>
  <c r="P341" i="28"/>
  <c r="O341" i="28"/>
  <c r="Q341" i="28" s="1"/>
  <c r="N341" i="28"/>
  <c r="M341" i="28"/>
  <c r="BD340" i="28"/>
  <c r="BC340" i="28"/>
  <c r="BB340" i="28"/>
  <c r="BA340" i="28"/>
  <c r="AZ340" i="28"/>
  <c r="AY340" i="28"/>
  <c r="AX340" i="28"/>
  <c r="AW340" i="28"/>
  <c r="AV340" i="28"/>
  <c r="AU340" i="28"/>
  <c r="AH340" i="28"/>
  <c r="AG340" i="28"/>
  <c r="AF340" i="28"/>
  <c r="AE340" i="28"/>
  <c r="AD340" i="28"/>
  <c r="AC340" i="28"/>
  <c r="AB340" i="28"/>
  <c r="AA340" i="28"/>
  <c r="Z340" i="28"/>
  <c r="Y340" i="28"/>
  <c r="L340" i="28"/>
  <c r="K340" i="28"/>
  <c r="J340" i="28"/>
  <c r="I340" i="28"/>
  <c r="H340" i="28"/>
  <c r="G340" i="28"/>
  <c r="F340" i="28"/>
  <c r="E340" i="28"/>
  <c r="D340" i="28"/>
  <c r="C340" i="28"/>
  <c r="BH336" i="28"/>
  <c r="BG336" i="28"/>
  <c r="BF336" i="28"/>
  <c r="BI336" i="28" s="1"/>
  <c r="BE336" i="28"/>
  <c r="AL336" i="28"/>
  <c r="AK336" i="28"/>
  <c r="AM336" i="28" s="1"/>
  <c r="AJ336" i="28"/>
  <c r="AI336" i="28"/>
  <c r="P336" i="28"/>
  <c r="O336" i="28"/>
  <c r="N336" i="28"/>
  <c r="Q336" i="28" s="1"/>
  <c r="M336" i="28"/>
  <c r="BD335" i="28"/>
  <c r="BC335" i="28"/>
  <c r="BB335" i="28"/>
  <c r="BA335" i="28"/>
  <c r="AZ335" i="28"/>
  <c r="AY335" i="28"/>
  <c r="AX335" i="28"/>
  <c r="AW335" i="28"/>
  <c r="AV335" i="28"/>
  <c r="AU335" i="28"/>
  <c r="AH335" i="28"/>
  <c r="AG335" i="28"/>
  <c r="AF335" i="28"/>
  <c r="AE335" i="28"/>
  <c r="AD335" i="28"/>
  <c r="AC335" i="28"/>
  <c r="AB335" i="28"/>
  <c r="AA335" i="28"/>
  <c r="Z335" i="28"/>
  <c r="Y335" i="28"/>
  <c r="L335" i="28"/>
  <c r="K335" i="28"/>
  <c r="J335" i="28"/>
  <c r="I335" i="28"/>
  <c r="H335" i="28"/>
  <c r="G335" i="28"/>
  <c r="F335" i="28"/>
  <c r="E335" i="28"/>
  <c r="D335" i="28"/>
  <c r="C335" i="28"/>
  <c r="BH331" i="28"/>
  <c r="BG331" i="28"/>
  <c r="BF331" i="28"/>
  <c r="BI331" i="28" s="1"/>
  <c r="BE331" i="28"/>
  <c r="AL331" i="28"/>
  <c r="AK331" i="28"/>
  <c r="AJ331" i="28"/>
  <c r="AM331" i="28" s="1"/>
  <c r="AI331" i="28"/>
  <c r="Q331" i="28"/>
  <c r="P331" i="28"/>
  <c r="O331" i="28"/>
  <c r="N331" i="28"/>
  <c r="M331" i="28"/>
  <c r="BD330" i="28"/>
  <c r="BC330" i="28"/>
  <c r="BB330" i="28"/>
  <c r="BA330" i="28"/>
  <c r="AZ330" i="28"/>
  <c r="AY330" i="28"/>
  <c r="AX330" i="28"/>
  <c r="AW330" i="28"/>
  <c r="AV330" i="28"/>
  <c r="AU330" i="28"/>
  <c r="AH330" i="28"/>
  <c r="AG330" i="28"/>
  <c r="AF330" i="28"/>
  <c r="AE330" i="28"/>
  <c r="AD330" i="28"/>
  <c r="AC330" i="28"/>
  <c r="AB330" i="28"/>
  <c r="AA330" i="28"/>
  <c r="Z330" i="28"/>
  <c r="Y330" i="28"/>
  <c r="L330" i="28"/>
  <c r="K330" i="28"/>
  <c r="J330" i="28"/>
  <c r="I330" i="28"/>
  <c r="H330" i="28"/>
  <c r="G330" i="28"/>
  <c r="F330" i="28"/>
  <c r="E330" i="28"/>
  <c r="D330" i="28"/>
  <c r="C330" i="28"/>
  <c r="BH326" i="28"/>
  <c r="BG326" i="28"/>
  <c r="BI326" i="28" s="1"/>
  <c r="BF326" i="28"/>
  <c r="BE326" i="28"/>
  <c r="AL326" i="28"/>
  <c r="AK326" i="28"/>
  <c r="AJ326" i="28"/>
  <c r="AI326" i="28"/>
  <c r="P326" i="28"/>
  <c r="O326" i="28"/>
  <c r="N326" i="28"/>
  <c r="Q326" i="28" s="1"/>
  <c r="M326" i="28"/>
  <c r="BD321" i="28"/>
  <c r="BC321" i="28"/>
  <c r="BB321" i="28"/>
  <c r="BA321" i="28"/>
  <c r="AZ321" i="28"/>
  <c r="AY321" i="28"/>
  <c r="AX321" i="28"/>
  <c r="AW321" i="28"/>
  <c r="AV321" i="28"/>
  <c r="AU321" i="28"/>
  <c r="AH321" i="28"/>
  <c r="AG321" i="28"/>
  <c r="AF321" i="28"/>
  <c r="AE321" i="28"/>
  <c r="AD321" i="28"/>
  <c r="AC321" i="28"/>
  <c r="AB321" i="28"/>
  <c r="AA321" i="28"/>
  <c r="Z321" i="28"/>
  <c r="Y321" i="28"/>
  <c r="L321" i="28"/>
  <c r="K321" i="28"/>
  <c r="J321" i="28"/>
  <c r="I321" i="28"/>
  <c r="H321" i="28"/>
  <c r="G321" i="28"/>
  <c r="F321" i="28"/>
  <c r="E321" i="28"/>
  <c r="D321" i="28"/>
  <c r="C321" i="28"/>
  <c r="BH317" i="28"/>
  <c r="BG317" i="28"/>
  <c r="BF317" i="28"/>
  <c r="BI317" i="28" s="1"/>
  <c r="BE317" i="28"/>
  <c r="AL317" i="28"/>
  <c r="AK317" i="28"/>
  <c r="AJ317" i="28"/>
  <c r="AM317" i="28" s="1"/>
  <c r="AI317" i="28"/>
  <c r="P317" i="28"/>
  <c r="O317" i="28"/>
  <c r="N317" i="28"/>
  <c r="Q317" i="28" s="1"/>
  <c r="M317" i="28"/>
  <c r="BD316" i="28"/>
  <c r="BC316" i="28"/>
  <c r="BB316" i="28"/>
  <c r="BA316" i="28"/>
  <c r="AZ316" i="28"/>
  <c r="AY316" i="28"/>
  <c r="AX316" i="28"/>
  <c r="AW316" i="28"/>
  <c r="AV316" i="28"/>
  <c r="AU316" i="28"/>
  <c r="AH316" i="28"/>
  <c r="AG316" i="28"/>
  <c r="AF316" i="28"/>
  <c r="AE316" i="28"/>
  <c r="AD316" i="28"/>
  <c r="AC316" i="28"/>
  <c r="AB316" i="28"/>
  <c r="AA316" i="28"/>
  <c r="Z316" i="28"/>
  <c r="Y316" i="28"/>
  <c r="L316" i="28"/>
  <c r="K316" i="28"/>
  <c r="J316" i="28"/>
  <c r="I316" i="28"/>
  <c r="H316" i="28"/>
  <c r="G316" i="28"/>
  <c r="F316" i="28"/>
  <c r="E316" i="28"/>
  <c r="D316" i="28"/>
  <c r="C316" i="28"/>
  <c r="BI312" i="28"/>
  <c r="BH312" i="28"/>
  <c r="BG312" i="28"/>
  <c r="BF312" i="28"/>
  <c r="BE312" i="28"/>
  <c r="AL312" i="28"/>
  <c r="AK312" i="28"/>
  <c r="AJ312" i="28"/>
  <c r="AI312" i="28"/>
  <c r="P312" i="28"/>
  <c r="O312" i="28"/>
  <c r="Q312" i="28" s="1"/>
  <c r="N312" i="28"/>
  <c r="M312" i="28"/>
  <c r="BD311" i="28"/>
  <c r="BC311" i="28"/>
  <c r="BB311" i="28"/>
  <c r="BA311" i="28"/>
  <c r="AZ311" i="28"/>
  <c r="AY311" i="28"/>
  <c r="AX311" i="28"/>
  <c r="AW311" i="28"/>
  <c r="AV311" i="28"/>
  <c r="AU311" i="28"/>
  <c r="AH311" i="28"/>
  <c r="AG311" i="28"/>
  <c r="AF311" i="28"/>
  <c r="AE311" i="28"/>
  <c r="AD311" i="28"/>
  <c r="AC311" i="28"/>
  <c r="AB311" i="28"/>
  <c r="AA311" i="28"/>
  <c r="Z311" i="28"/>
  <c r="Y311" i="28"/>
  <c r="L311" i="28"/>
  <c r="K311" i="28"/>
  <c r="J311" i="28"/>
  <c r="I311" i="28"/>
  <c r="H311" i="28"/>
  <c r="G311" i="28"/>
  <c r="F311" i="28"/>
  <c r="E311" i="28"/>
  <c r="D311" i="28"/>
  <c r="C311" i="28"/>
  <c r="BH307" i="28"/>
  <c r="BG307" i="28"/>
  <c r="BF307" i="28"/>
  <c r="BE307" i="28"/>
  <c r="AL307" i="28"/>
  <c r="AK307" i="28"/>
  <c r="AJ307" i="28"/>
  <c r="AI307" i="28"/>
  <c r="P307" i="28"/>
  <c r="O307" i="28"/>
  <c r="N307" i="28"/>
  <c r="Q307" i="28" s="1"/>
  <c r="M307" i="28"/>
  <c r="BD306" i="28"/>
  <c r="BC306" i="28"/>
  <c r="BB306" i="28"/>
  <c r="BA306" i="28"/>
  <c r="AZ306" i="28"/>
  <c r="AY306" i="28"/>
  <c r="AX306" i="28"/>
  <c r="AW306" i="28"/>
  <c r="AV306" i="28"/>
  <c r="AU306" i="28"/>
  <c r="AH306" i="28"/>
  <c r="AG306" i="28"/>
  <c r="AF306" i="28"/>
  <c r="AE306" i="28"/>
  <c r="AD306" i="28"/>
  <c r="AC306" i="28"/>
  <c r="AB306" i="28"/>
  <c r="AA306" i="28"/>
  <c r="Z306" i="28"/>
  <c r="Y306" i="28"/>
  <c r="L306" i="28"/>
  <c r="K306" i="28"/>
  <c r="J306" i="28"/>
  <c r="I306" i="28"/>
  <c r="H306" i="28"/>
  <c r="G306" i="28"/>
  <c r="F306" i="28"/>
  <c r="E306" i="28"/>
  <c r="D306" i="28"/>
  <c r="C306" i="28"/>
  <c r="BH302" i="28"/>
  <c r="BG302" i="28"/>
  <c r="BF302" i="28"/>
  <c r="BE302" i="28"/>
  <c r="AL302" i="28"/>
  <c r="AK302" i="28"/>
  <c r="AJ302" i="28"/>
  <c r="AI302" i="28"/>
  <c r="P302" i="28"/>
  <c r="O302" i="28"/>
  <c r="N302" i="28"/>
  <c r="Q302" i="28" s="1"/>
  <c r="M302" i="28"/>
  <c r="BD301" i="28"/>
  <c r="BC301" i="28"/>
  <c r="BB301" i="28"/>
  <c r="BA301" i="28"/>
  <c r="AZ301" i="28"/>
  <c r="AY301" i="28"/>
  <c r="AX301" i="28"/>
  <c r="AW301" i="28"/>
  <c r="AV301" i="28"/>
  <c r="AU301" i="28"/>
  <c r="AH301" i="28"/>
  <c r="AG301" i="28"/>
  <c r="AF301" i="28"/>
  <c r="AE301" i="28"/>
  <c r="AD301" i="28"/>
  <c r="AC301" i="28"/>
  <c r="AB301" i="28"/>
  <c r="AA301" i="28"/>
  <c r="Z301" i="28"/>
  <c r="Y301" i="28"/>
  <c r="L301" i="28"/>
  <c r="K301" i="28"/>
  <c r="J301" i="28"/>
  <c r="I301" i="28"/>
  <c r="H301" i="28"/>
  <c r="G301" i="28"/>
  <c r="F301" i="28"/>
  <c r="E301" i="28"/>
  <c r="D301" i="28"/>
  <c r="C301" i="28"/>
  <c r="BH297" i="28"/>
  <c r="BG297" i="28"/>
  <c r="BF297" i="28"/>
  <c r="BE297" i="28"/>
  <c r="AL297" i="28"/>
  <c r="AK297" i="28"/>
  <c r="AJ297" i="28"/>
  <c r="AI297" i="28"/>
  <c r="P297" i="28"/>
  <c r="O297" i="28"/>
  <c r="N297" i="28"/>
  <c r="Q297" i="28" s="1"/>
  <c r="M297" i="28"/>
  <c r="BD292" i="28"/>
  <c r="BC292" i="28"/>
  <c r="BB292" i="28"/>
  <c r="BA292" i="28"/>
  <c r="AZ292" i="28"/>
  <c r="AY292" i="28"/>
  <c r="AX292" i="28"/>
  <c r="AW292" i="28"/>
  <c r="AV292" i="28"/>
  <c r="AU292" i="28"/>
  <c r="AH292" i="28"/>
  <c r="AG292" i="28"/>
  <c r="AF292" i="28"/>
  <c r="AE292" i="28"/>
  <c r="AD292" i="28"/>
  <c r="AC292" i="28"/>
  <c r="AB292" i="28"/>
  <c r="AA292" i="28"/>
  <c r="Z292" i="28"/>
  <c r="Y292" i="28"/>
  <c r="L292" i="28"/>
  <c r="K292" i="28"/>
  <c r="J292" i="28"/>
  <c r="I292" i="28"/>
  <c r="H292" i="28"/>
  <c r="G292" i="28"/>
  <c r="F292" i="28"/>
  <c r="E292" i="28"/>
  <c r="D292" i="28"/>
  <c r="C292" i="28"/>
  <c r="BH288" i="28"/>
  <c r="BG288" i="28"/>
  <c r="BF288" i="28"/>
  <c r="BE288" i="28"/>
  <c r="AL288" i="28"/>
  <c r="AK288" i="28"/>
  <c r="AJ288" i="28"/>
  <c r="AI288" i="28"/>
  <c r="P288" i="28"/>
  <c r="O288" i="28"/>
  <c r="N288" i="28"/>
  <c r="M288" i="28"/>
  <c r="BD287" i="28"/>
  <c r="BC287" i="28"/>
  <c r="BB287" i="28"/>
  <c r="BA287" i="28"/>
  <c r="AZ287" i="28"/>
  <c r="AY287" i="28"/>
  <c r="AX287" i="28"/>
  <c r="AW287" i="28"/>
  <c r="AV287" i="28"/>
  <c r="AU287" i="28"/>
  <c r="AH287" i="28"/>
  <c r="AG287" i="28"/>
  <c r="AF287" i="28"/>
  <c r="AE287" i="28"/>
  <c r="AD287" i="28"/>
  <c r="AC287" i="28"/>
  <c r="AB287" i="28"/>
  <c r="AA287" i="28"/>
  <c r="Z287" i="28"/>
  <c r="Y287" i="28"/>
  <c r="L287" i="28"/>
  <c r="K287" i="28"/>
  <c r="J287" i="28"/>
  <c r="I287" i="28"/>
  <c r="H287" i="28"/>
  <c r="G287" i="28"/>
  <c r="F287" i="28"/>
  <c r="E287" i="28"/>
  <c r="D287" i="28"/>
  <c r="C287" i="28"/>
  <c r="BH283" i="28"/>
  <c r="BG283" i="28"/>
  <c r="BF283" i="28"/>
  <c r="BI283" i="28" s="1"/>
  <c r="BE283" i="28"/>
  <c r="AL283" i="28"/>
  <c r="AK283" i="28"/>
  <c r="AJ283" i="28"/>
  <c r="AI283" i="28"/>
  <c r="P283" i="28"/>
  <c r="O283" i="28"/>
  <c r="N283" i="28"/>
  <c r="M283" i="28"/>
  <c r="BD282" i="28"/>
  <c r="BC282" i="28"/>
  <c r="BB282" i="28"/>
  <c r="BA282" i="28"/>
  <c r="AZ282" i="28"/>
  <c r="AY282" i="28"/>
  <c r="AX282" i="28"/>
  <c r="AW282" i="28"/>
  <c r="AV282" i="28"/>
  <c r="AU282" i="28"/>
  <c r="AH282" i="28"/>
  <c r="AG282" i="28"/>
  <c r="AF282" i="28"/>
  <c r="AE282" i="28"/>
  <c r="AD282" i="28"/>
  <c r="AC282" i="28"/>
  <c r="AB282" i="28"/>
  <c r="AA282" i="28"/>
  <c r="Z282" i="28"/>
  <c r="Y282" i="28"/>
  <c r="L282" i="28"/>
  <c r="K282" i="28"/>
  <c r="J282" i="28"/>
  <c r="I282" i="28"/>
  <c r="H282" i="28"/>
  <c r="G282" i="28"/>
  <c r="F282" i="28"/>
  <c r="E282" i="28"/>
  <c r="D282" i="28"/>
  <c r="C282" i="28"/>
  <c r="BH278" i="28"/>
  <c r="BG278" i="28"/>
  <c r="BF278" i="28"/>
  <c r="BI278" i="28" s="1"/>
  <c r="BE278" i="28"/>
  <c r="AL278" i="28"/>
  <c r="AK278" i="28"/>
  <c r="AJ278" i="28"/>
  <c r="AI278" i="28"/>
  <c r="P278" i="28"/>
  <c r="O278" i="28"/>
  <c r="N278" i="28"/>
  <c r="Q278" i="28" s="1"/>
  <c r="M278" i="28"/>
  <c r="BD277" i="28"/>
  <c r="BC277" i="28"/>
  <c r="BB277" i="28"/>
  <c r="BA277" i="28"/>
  <c r="AZ277" i="28"/>
  <c r="AY277" i="28"/>
  <c r="AX277" i="28"/>
  <c r="AW277" i="28"/>
  <c r="AV277" i="28"/>
  <c r="AU277" i="28"/>
  <c r="AH277" i="28"/>
  <c r="AG277" i="28"/>
  <c r="AF277" i="28"/>
  <c r="AE277" i="28"/>
  <c r="AD277" i="28"/>
  <c r="AC277" i="28"/>
  <c r="AB277" i="28"/>
  <c r="AA277" i="28"/>
  <c r="Z277" i="28"/>
  <c r="Y277" i="28"/>
  <c r="L277" i="28"/>
  <c r="K277" i="28"/>
  <c r="J277" i="28"/>
  <c r="I277" i="28"/>
  <c r="H277" i="28"/>
  <c r="G277" i="28"/>
  <c r="F277" i="28"/>
  <c r="E277" i="28"/>
  <c r="D277" i="28"/>
  <c r="C277" i="28"/>
  <c r="BH273" i="28"/>
  <c r="BG273" i="28"/>
  <c r="BF273" i="28"/>
  <c r="BE273" i="28"/>
  <c r="AL273" i="28"/>
  <c r="AK273" i="28"/>
  <c r="AJ273" i="28"/>
  <c r="AI273" i="28"/>
  <c r="Q273" i="28"/>
  <c r="P273" i="28"/>
  <c r="O273" i="28"/>
  <c r="N273" i="28"/>
  <c r="M273" i="28"/>
  <c r="BD272" i="28"/>
  <c r="BC272" i="28"/>
  <c r="BB272" i="28"/>
  <c r="BA272" i="28"/>
  <c r="AZ272" i="28"/>
  <c r="AY272" i="28"/>
  <c r="AX272" i="28"/>
  <c r="AW272" i="28"/>
  <c r="AV272" i="28"/>
  <c r="AU272" i="28"/>
  <c r="AH272" i="28"/>
  <c r="AG272" i="28"/>
  <c r="AF272" i="28"/>
  <c r="AE272" i="28"/>
  <c r="AD272" i="28"/>
  <c r="AC272" i="28"/>
  <c r="AB272" i="28"/>
  <c r="AA272" i="28"/>
  <c r="Z272" i="28"/>
  <c r="Y272" i="28"/>
  <c r="L272" i="28"/>
  <c r="K272" i="28"/>
  <c r="J272" i="28"/>
  <c r="I272" i="28"/>
  <c r="H272" i="28"/>
  <c r="G272" i="28"/>
  <c r="F272" i="28"/>
  <c r="E272" i="28"/>
  <c r="D272" i="28"/>
  <c r="C272" i="28"/>
  <c r="BH268" i="28"/>
  <c r="BG268" i="28"/>
  <c r="BF268" i="28"/>
  <c r="BI268" i="28" s="1"/>
  <c r="BE268" i="28"/>
  <c r="AL268" i="28"/>
  <c r="AK268" i="28"/>
  <c r="AJ268" i="28"/>
  <c r="AI268" i="28"/>
  <c r="P268" i="28"/>
  <c r="O268" i="28"/>
  <c r="N268" i="28"/>
  <c r="Q268" i="28" s="1"/>
  <c r="M268" i="28"/>
  <c r="BD263" i="28"/>
  <c r="BC263" i="28"/>
  <c r="BB263" i="28"/>
  <c r="BA263" i="28"/>
  <c r="AZ263" i="28"/>
  <c r="AY263" i="28"/>
  <c r="AX263" i="28"/>
  <c r="AW263" i="28"/>
  <c r="AV263" i="28"/>
  <c r="AU263" i="28"/>
  <c r="AH263" i="28"/>
  <c r="AG263" i="28"/>
  <c r="AF263" i="28"/>
  <c r="AE263" i="28"/>
  <c r="AD263" i="28"/>
  <c r="AC263" i="28"/>
  <c r="AB263" i="28"/>
  <c r="AA263" i="28"/>
  <c r="Z263" i="28"/>
  <c r="Y263" i="28"/>
  <c r="L263" i="28"/>
  <c r="K263" i="28"/>
  <c r="J263" i="28"/>
  <c r="I263" i="28"/>
  <c r="H263" i="28"/>
  <c r="G263" i="28"/>
  <c r="F263" i="28"/>
  <c r="E263" i="28"/>
  <c r="D263" i="28"/>
  <c r="C263" i="28"/>
  <c r="BH259" i="28"/>
  <c r="BG259" i="28"/>
  <c r="BF259" i="28"/>
  <c r="BI259" i="28" s="1"/>
  <c r="BE259" i="28"/>
  <c r="AL259" i="28"/>
  <c r="AK259" i="28"/>
  <c r="AJ259" i="28"/>
  <c r="AM259" i="28" s="1"/>
  <c r="AI259" i="28"/>
  <c r="P259" i="28"/>
  <c r="O259" i="28"/>
  <c r="N259" i="28"/>
  <c r="Q259" i="28" s="1"/>
  <c r="M259" i="28"/>
  <c r="BD258" i="28"/>
  <c r="BC258" i="28"/>
  <c r="BB258" i="28"/>
  <c r="BA258" i="28"/>
  <c r="AZ258" i="28"/>
  <c r="AY258" i="28"/>
  <c r="AX258" i="28"/>
  <c r="AW258" i="28"/>
  <c r="AV258" i="28"/>
  <c r="AU258" i="28"/>
  <c r="AH258" i="28"/>
  <c r="AG258" i="28"/>
  <c r="AF258" i="28"/>
  <c r="AE258" i="28"/>
  <c r="AD258" i="28"/>
  <c r="AC258" i="28"/>
  <c r="AB258" i="28"/>
  <c r="AA258" i="28"/>
  <c r="Z258" i="28"/>
  <c r="Y258" i="28"/>
  <c r="L258" i="28"/>
  <c r="K258" i="28"/>
  <c r="J258" i="28"/>
  <c r="I258" i="28"/>
  <c r="H258" i="28"/>
  <c r="G258" i="28"/>
  <c r="F258" i="28"/>
  <c r="E258" i="28"/>
  <c r="D258" i="28"/>
  <c r="C258" i="28"/>
  <c r="BH254" i="28"/>
  <c r="BG254" i="28"/>
  <c r="BF254" i="28"/>
  <c r="BE254" i="28"/>
  <c r="AL254" i="28"/>
  <c r="AK254" i="28"/>
  <c r="AJ254" i="28"/>
  <c r="AI254" i="28"/>
  <c r="P254" i="28"/>
  <c r="O254" i="28"/>
  <c r="N254" i="28"/>
  <c r="M254" i="28"/>
  <c r="BD253" i="28"/>
  <c r="BC253" i="28"/>
  <c r="BB253" i="28"/>
  <c r="BA253" i="28"/>
  <c r="AZ253" i="28"/>
  <c r="AY253" i="28"/>
  <c r="AX253" i="28"/>
  <c r="AW253" i="28"/>
  <c r="AV253" i="28"/>
  <c r="AU253" i="28"/>
  <c r="AH253" i="28"/>
  <c r="AG253" i="28"/>
  <c r="AF253" i="28"/>
  <c r="AE253" i="28"/>
  <c r="AD253" i="28"/>
  <c r="AC253" i="28"/>
  <c r="AB253" i="28"/>
  <c r="AA253" i="28"/>
  <c r="Z253" i="28"/>
  <c r="Y253" i="28"/>
  <c r="L253" i="28"/>
  <c r="K253" i="28"/>
  <c r="J253" i="28"/>
  <c r="I253" i="28"/>
  <c r="H253" i="28"/>
  <c r="G253" i="28"/>
  <c r="F253" i="28"/>
  <c r="E253" i="28"/>
  <c r="D253" i="28"/>
  <c r="C253" i="28"/>
  <c r="BH249" i="28"/>
  <c r="BG249" i="28"/>
  <c r="BF249" i="28"/>
  <c r="BI249" i="28" s="1"/>
  <c r="BE249" i="28"/>
  <c r="AL249" i="28"/>
  <c r="AK249" i="28"/>
  <c r="AJ249" i="28"/>
  <c r="AI249" i="28"/>
  <c r="P249" i="28"/>
  <c r="O249" i="28"/>
  <c r="N249" i="28"/>
  <c r="M249" i="28"/>
  <c r="BD248" i="28"/>
  <c r="BC248" i="28"/>
  <c r="BB248" i="28"/>
  <c r="BA248" i="28"/>
  <c r="AZ248" i="28"/>
  <c r="AY248" i="28"/>
  <c r="AX248" i="28"/>
  <c r="AW248" i="28"/>
  <c r="AV248" i="28"/>
  <c r="AU248" i="28"/>
  <c r="AH248" i="28"/>
  <c r="AG248" i="28"/>
  <c r="AF248" i="28"/>
  <c r="AE248" i="28"/>
  <c r="AD248" i="28"/>
  <c r="AC248" i="28"/>
  <c r="AB248" i="28"/>
  <c r="AA248" i="28"/>
  <c r="Z248" i="28"/>
  <c r="Y248" i="28"/>
  <c r="L248" i="28"/>
  <c r="K248" i="28"/>
  <c r="J248" i="28"/>
  <c r="I248" i="28"/>
  <c r="H248" i="28"/>
  <c r="G248" i="28"/>
  <c r="F248" i="28"/>
  <c r="E248" i="28"/>
  <c r="D248" i="28"/>
  <c r="C248" i="28"/>
  <c r="BH244" i="28"/>
  <c r="BG244" i="28"/>
  <c r="BF244" i="28"/>
  <c r="BE244" i="28"/>
  <c r="AL244" i="28"/>
  <c r="AK244" i="28"/>
  <c r="AJ244" i="28"/>
  <c r="AI244" i="28"/>
  <c r="P244" i="28"/>
  <c r="O244" i="28"/>
  <c r="N244" i="28"/>
  <c r="M244" i="28"/>
  <c r="BD243" i="28"/>
  <c r="BC243" i="28"/>
  <c r="BB243" i="28"/>
  <c r="BA243" i="28"/>
  <c r="AZ243" i="28"/>
  <c r="AY243" i="28"/>
  <c r="AX243" i="28"/>
  <c r="AW243" i="28"/>
  <c r="AV243" i="28"/>
  <c r="AU243" i="28"/>
  <c r="AH243" i="28"/>
  <c r="AG243" i="28"/>
  <c r="AF243" i="28"/>
  <c r="AE243" i="28"/>
  <c r="AD243" i="28"/>
  <c r="AC243" i="28"/>
  <c r="AB243" i="28"/>
  <c r="AA243" i="28"/>
  <c r="Z243" i="28"/>
  <c r="Y243" i="28"/>
  <c r="L243" i="28"/>
  <c r="K243" i="28"/>
  <c r="J243" i="28"/>
  <c r="I243" i="28"/>
  <c r="H243" i="28"/>
  <c r="G243" i="28"/>
  <c r="F243" i="28"/>
  <c r="E243" i="28"/>
  <c r="D243" i="28"/>
  <c r="C243" i="28"/>
  <c r="BH239" i="28"/>
  <c r="BG239" i="28"/>
  <c r="BF239" i="28"/>
  <c r="BI239" i="28" s="1"/>
  <c r="BE239" i="28"/>
  <c r="AL239" i="28"/>
  <c r="AK239" i="28"/>
  <c r="AJ239" i="28"/>
  <c r="AI239" i="28"/>
  <c r="P239" i="28"/>
  <c r="O239" i="28"/>
  <c r="N239" i="28"/>
  <c r="M239" i="28"/>
  <c r="BD234" i="28"/>
  <c r="BC234" i="28"/>
  <c r="BB234" i="28"/>
  <c r="BA234" i="28"/>
  <c r="AZ234" i="28"/>
  <c r="AY234" i="28"/>
  <c r="AX234" i="28"/>
  <c r="AW234" i="28"/>
  <c r="AV234" i="28"/>
  <c r="AU234" i="28"/>
  <c r="AH234" i="28"/>
  <c r="AG234" i="28"/>
  <c r="AF234" i="28"/>
  <c r="AE234" i="28"/>
  <c r="AD234" i="28"/>
  <c r="AC234" i="28"/>
  <c r="AB234" i="28"/>
  <c r="AA234" i="28"/>
  <c r="Z234" i="28"/>
  <c r="Y234" i="28"/>
  <c r="L234" i="28"/>
  <c r="K234" i="28"/>
  <c r="J234" i="28"/>
  <c r="I234" i="28"/>
  <c r="H234" i="28"/>
  <c r="G234" i="28"/>
  <c r="F234" i="28"/>
  <c r="E234" i="28"/>
  <c r="D234" i="28"/>
  <c r="C234" i="28"/>
  <c r="BH230" i="28"/>
  <c r="BG230" i="28"/>
  <c r="BF230" i="28"/>
  <c r="BE230" i="28"/>
  <c r="AM230" i="28"/>
  <c r="AL230" i="28"/>
  <c r="AK230" i="28"/>
  <c r="AJ230" i="28"/>
  <c r="AI230" i="28"/>
  <c r="P230" i="28"/>
  <c r="O230" i="28"/>
  <c r="N230" i="28"/>
  <c r="M230" i="28"/>
  <c r="BD229" i="28"/>
  <c r="BC229" i="28"/>
  <c r="BB229" i="28"/>
  <c r="BA229" i="28"/>
  <c r="AZ229" i="28"/>
  <c r="AY229" i="28"/>
  <c r="AX229" i="28"/>
  <c r="AW229" i="28"/>
  <c r="AV229" i="28"/>
  <c r="AU229" i="28"/>
  <c r="AH229" i="28"/>
  <c r="AG229" i="28"/>
  <c r="AF229" i="28"/>
  <c r="AE229" i="28"/>
  <c r="AD229" i="28"/>
  <c r="AC229" i="28"/>
  <c r="AB229" i="28"/>
  <c r="AA229" i="28"/>
  <c r="Z229" i="28"/>
  <c r="Y229" i="28"/>
  <c r="L229" i="28"/>
  <c r="K229" i="28"/>
  <c r="J229" i="28"/>
  <c r="I229" i="28"/>
  <c r="H229" i="28"/>
  <c r="G229" i="28"/>
  <c r="F229" i="28"/>
  <c r="E229" i="28"/>
  <c r="D229" i="28"/>
  <c r="C229" i="28"/>
  <c r="BH225" i="28"/>
  <c r="BG225" i="28"/>
  <c r="BF225" i="28"/>
  <c r="BE225" i="28"/>
  <c r="AL225" i="28"/>
  <c r="AK225" i="28"/>
  <c r="AJ225" i="28"/>
  <c r="AI225" i="28"/>
  <c r="P225" i="28"/>
  <c r="O225" i="28"/>
  <c r="N225" i="28"/>
  <c r="M225" i="28"/>
  <c r="BD224" i="28"/>
  <c r="BC224" i="28"/>
  <c r="BB224" i="28"/>
  <c r="BA224" i="28"/>
  <c r="AZ224" i="28"/>
  <c r="AY224" i="28"/>
  <c r="AX224" i="28"/>
  <c r="AW224" i="28"/>
  <c r="AV224" i="28"/>
  <c r="AU224" i="28"/>
  <c r="AH224" i="28"/>
  <c r="AG224" i="28"/>
  <c r="AF224" i="28"/>
  <c r="AE224" i="28"/>
  <c r="AD224" i="28"/>
  <c r="AC224" i="28"/>
  <c r="AB224" i="28"/>
  <c r="AA224" i="28"/>
  <c r="Z224" i="28"/>
  <c r="Y224" i="28"/>
  <c r="L224" i="28"/>
  <c r="K224" i="28"/>
  <c r="J224" i="28"/>
  <c r="I224" i="28"/>
  <c r="H224" i="28"/>
  <c r="G224" i="28"/>
  <c r="F224" i="28"/>
  <c r="E224" i="28"/>
  <c r="D224" i="28"/>
  <c r="C224" i="28"/>
  <c r="BH220" i="28"/>
  <c r="BG220" i="28"/>
  <c r="BF220" i="28"/>
  <c r="BE220" i="28"/>
  <c r="AL220" i="28"/>
  <c r="AK220" i="28"/>
  <c r="AJ220" i="28"/>
  <c r="AI220" i="28"/>
  <c r="P220" i="28"/>
  <c r="O220" i="28"/>
  <c r="N220" i="28"/>
  <c r="M220" i="28"/>
  <c r="BD219" i="28"/>
  <c r="BC219" i="28"/>
  <c r="BB219" i="28"/>
  <c r="BA219" i="28"/>
  <c r="AZ219" i="28"/>
  <c r="AY219" i="28"/>
  <c r="AX219" i="28"/>
  <c r="AW219" i="28"/>
  <c r="AV219" i="28"/>
  <c r="AU219" i="28"/>
  <c r="AH219" i="28"/>
  <c r="AG219" i="28"/>
  <c r="AF219" i="28"/>
  <c r="AE219" i="28"/>
  <c r="AD219" i="28"/>
  <c r="AC219" i="28"/>
  <c r="AB219" i="28"/>
  <c r="AA219" i="28"/>
  <c r="Z219" i="28"/>
  <c r="Y219" i="28"/>
  <c r="L219" i="28"/>
  <c r="K219" i="28"/>
  <c r="J219" i="28"/>
  <c r="I219" i="28"/>
  <c r="H219" i="28"/>
  <c r="G219" i="28"/>
  <c r="F219" i="28"/>
  <c r="E219" i="28"/>
  <c r="D219" i="28"/>
  <c r="BH215" i="28"/>
  <c r="BG215" i="28"/>
  <c r="BF215" i="28"/>
  <c r="BE215" i="28"/>
  <c r="AL215" i="28"/>
  <c r="AK215" i="28"/>
  <c r="AJ215" i="28"/>
  <c r="AI215" i="28"/>
  <c r="P215" i="28"/>
  <c r="O215" i="28"/>
  <c r="N215" i="28"/>
  <c r="M215" i="28"/>
  <c r="BD214" i="28"/>
  <c r="BC214" i="28"/>
  <c r="BB214" i="28"/>
  <c r="BA214" i="28"/>
  <c r="AZ214" i="28"/>
  <c r="AY214" i="28"/>
  <c r="AX214" i="28"/>
  <c r="AW214" i="28"/>
  <c r="AV214" i="28"/>
  <c r="AH214" i="28"/>
  <c r="AG214" i="28"/>
  <c r="AF214" i="28"/>
  <c r="AE214" i="28"/>
  <c r="AD214" i="28"/>
  <c r="AC214" i="28"/>
  <c r="AB214" i="28"/>
  <c r="AA214" i="28"/>
  <c r="Z214" i="28"/>
  <c r="Y214" i="28"/>
  <c r="L214" i="28"/>
  <c r="K214" i="28"/>
  <c r="J214" i="28"/>
  <c r="I214" i="28"/>
  <c r="H214" i="28"/>
  <c r="G214" i="28"/>
  <c r="F214" i="28"/>
  <c r="E214" i="28"/>
  <c r="D214" i="28"/>
  <c r="C214" i="28"/>
  <c r="BH210" i="28"/>
  <c r="BG210" i="28"/>
  <c r="BF210" i="28"/>
  <c r="BE210" i="28"/>
  <c r="AL210" i="28"/>
  <c r="AK210" i="28"/>
  <c r="AJ210" i="28"/>
  <c r="AI210" i="28"/>
  <c r="P210" i="28"/>
  <c r="O210" i="28"/>
  <c r="N210" i="28"/>
  <c r="M210" i="28"/>
  <c r="BD205" i="28"/>
  <c r="BC205" i="28"/>
  <c r="BB205" i="28"/>
  <c r="BA205" i="28"/>
  <c r="AZ205" i="28"/>
  <c r="AY205" i="28"/>
  <c r="AX205" i="28"/>
  <c r="AW205" i="28"/>
  <c r="AV205" i="28"/>
  <c r="AU205" i="28"/>
  <c r="AH205" i="28"/>
  <c r="AG205" i="28"/>
  <c r="AF205" i="28"/>
  <c r="AE205" i="28"/>
  <c r="AD205" i="28"/>
  <c r="AC205" i="28"/>
  <c r="AB205" i="28"/>
  <c r="AA205" i="28"/>
  <c r="Z205" i="28"/>
  <c r="Y205" i="28"/>
  <c r="L205" i="28"/>
  <c r="K205" i="28"/>
  <c r="J205" i="28"/>
  <c r="I205" i="28"/>
  <c r="H205" i="28"/>
  <c r="G205" i="28"/>
  <c r="F205" i="28"/>
  <c r="E205" i="28"/>
  <c r="D205" i="28"/>
  <c r="C205" i="28"/>
  <c r="BH201" i="28"/>
  <c r="BG201" i="28"/>
  <c r="BF201" i="28"/>
  <c r="BI201" i="28" s="1"/>
  <c r="BE201" i="28"/>
  <c r="AL201" i="28"/>
  <c r="AK201" i="28"/>
  <c r="AJ201" i="28"/>
  <c r="AM201" i="28" s="1"/>
  <c r="AI201" i="28"/>
  <c r="P201" i="28"/>
  <c r="O201" i="28"/>
  <c r="N201" i="28"/>
  <c r="Q201" i="28" s="1"/>
  <c r="M201" i="28"/>
  <c r="BD200" i="28"/>
  <c r="BC200" i="28"/>
  <c r="BB200" i="28"/>
  <c r="BA200" i="28"/>
  <c r="AZ200" i="28"/>
  <c r="AY200" i="28"/>
  <c r="AX200" i="28"/>
  <c r="AW200" i="28"/>
  <c r="AV200" i="28"/>
  <c r="AU200" i="28"/>
  <c r="AH200" i="28"/>
  <c r="AG200" i="28"/>
  <c r="AF200" i="28"/>
  <c r="AE200" i="28"/>
  <c r="AD200" i="28"/>
  <c r="AC200" i="28"/>
  <c r="AB200" i="28"/>
  <c r="AA200" i="28"/>
  <c r="Z200" i="28"/>
  <c r="Y200" i="28"/>
  <c r="L200" i="28"/>
  <c r="K200" i="28"/>
  <c r="J200" i="28"/>
  <c r="I200" i="28"/>
  <c r="H200" i="28"/>
  <c r="G200" i="28"/>
  <c r="F200" i="28"/>
  <c r="E200" i="28"/>
  <c r="D200" i="28"/>
  <c r="C200" i="28"/>
  <c r="BH196" i="28"/>
  <c r="BG196" i="28"/>
  <c r="BF196" i="28"/>
  <c r="BE196" i="28"/>
  <c r="AL196" i="28"/>
  <c r="AK196" i="28"/>
  <c r="AJ196" i="28"/>
  <c r="AI196" i="28"/>
  <c r="P196" i="28"/>
  <c r="O196" i="28"/>
  <c r="N196" i="28"/>
  <c r="M196" i="28"/>
  <c r="BD195" i="28"/>
  <c r="BC195" i="28"/>
  <c r="BB195" i="28"/>
  <c r="BA195" i="28"/>
  <c r="AZ195" i="28"/>
  <c r="AY195" i="28"/>
  <c r="AX195" i="28"/>
  <c r="AW195" i="28"/>
  <c r="AV195" i="28"/>
  <c r="AU195" i="28"/>
  <c r="AH195" i="28"/>
  <c r="AG195" i="28"/>
  <c r="AF195" i="28"/>
  <c r="AE195" i="28"/>
  <c r="AD195" i="28"/>
  <c r="AC195" i="28"/>
  <c r="AB195" i="28"/>
  <c r="AA195" i="28"/>
  <c r="Z195" i="28"/>
  <c r="Y195" i="28"/>
  <c r="L195" i="28"/>
  <c r="K195" i="28"/>
  <c r="J195" i="28"/>
  <c r="I195" i="28"/>
  <c r="H195" i="28"/>
  <c r="G195" i="28"/>
  <c r="F195" i="28"/>
  <c r="E195" i="28"/>
  <c r="D195" i="28"/>
  <c r="C195" i="28"/>
  <c r="BH191" i="28"/>
  <c r="BG191" i="28"/>
  <c r="BF191" i="28"/>
  <c r="BI191" i="28" s="1"/>
  <c r="BE191" i="28"/>
  <c r="AL191" i="28"/>
  <c r="AK191" i="28"/>
  <c r="AJ191" i="28"/>
  <c r="AI191" i="28"/>
  <c r="P191" i="28"/>
  <c r="O191" i="28"/>
  <c r="N191" i="28"/>
  <c r="Q191" i="28" s="1"/>
  <c r="M191" i="28"/>
  <c r="BD190" i="28"/>
  <c r="BC190" i="28"/>
  <c r="BB190" i="28"/>
  <c r="BA190" i="28"/>
  <c r="AZ190" i="28"/>
  <c r="AY190" i="28"/>
  <c r="AX190" i="28"/>
  <c r="AW190" i="28"/>
  <c r="AV190" i="28"/>
  <c r="AU190" i="28"/>
  <c r="AH190" i="28"/>
  <c r="AG190" i="28"/>
  <c r="AF190" i="28"/>
  <c r="AE190" i="28"/>
  <c r="AD190" i="28"/>
  <c r="AC190" i="28"/>
  <c r="AB190" i="28"/>
  <c r="AA190" i="28"/>
  <c r="Z190" i="28"/>
  <c r="Y190" i="28"/>
  <c r="L190" i="28"/>
  <c r="K190" i="28"/>
  <c r="J190" i="28"/>
  <c r="I190" i="28"/>
  <c r="H190" i="28"/>
  <c r="G190" i="28"/>
  <c r="F190" i="28"/>
  <c r="E190" i="28"/>
  <c r="D190" i="28"/>
  <c r="C190" i="28"/>
  <c r="BH186" i="28"/>
  <c r="BG186" i="28"/>
  <c r="BF186" i="28"/>
  <c r="BE186" i="28"/>
  <c r="AL186" i="28"/>
  <c r="AK186" i="28"/>
  <c r="AJ186" i="28"/>
  <c r="AI186" i="28"/>
  <c r="P186" i="28"/>
  <c r="O186" i="28"/>
  <c r="N186" i="28"/>
  <c r="M186" i="28"/>
  <c r="BD185" i="28"/>
  <c r="BC185" i="28"/>
  <c r="BB185" i="28"/>
  <c r="BA185" i="28"/>
  <c r="AZ185" i="28"/>
  <c r="AY185" i="28"/>
  <c r="AX185" i="28"/>
  <c r="AW185" i="28"/>
  <c r="AV185" i="28"/>
  <c r="AU185" i="28"/>
  <c r="AH185" i="28"/>
  <c r="AG185" i="28"/>
  <c r="AF185" i="28"/>
  <c r="AE185" i="28"/>
  <c r="AD185" i="28"/>
  <c r="AC185" i="28"/>
  <c r="AB185" i="28"/>
  <c r="AA185" i="28"/>
  <c r="Z185" i="28"/>
  <c r="Y185" i="28"/>
  <c r="L185" i="28"/>
  <c r="K185" i="28"/>
  <c r="J185" i="28"/>
  <c r="I185" i="28"/>
  <c r="H185" i="28"/>
  <c r="G185" i="28"/>
  <c r="F185" i="28"/>
  <c r="E185" i="28"/>
  <c r="D185" i="28"/>
  <c r="C185" i="28"/>
  <c r="BH181" i="28"/>
  <c r="BG181" i="28"/>
  <c r="BF181" i="28"/>
  <c r="BE181" i="28"/>
  <c r="AL181" i="28"/>
  <c r="AK181" i="28"/>
  <c r="AJ181" i="28"/>
  <c r="AI181" i="28"/>
  <c r="P181" i="28"/>
  <c r="O181" i="28"/>
  <c r="N181" i="28"/>
  <c r="M181" i="28"/>
  <c r="BD176" i="28"/>
  <c r="BC176" i="28"/>
  <c r="BB176" i="28"/>
  <c r="BA176" i="28"/>
  <c r="AZ176" i="28"/>
  <c r="AY176" i="28"/>
  <c r="AX176" i="28"/>
  <c r="AW176" i="28"/>
  <c r="AV176" i="28"/>
  <c r="AU176" i="28"/>
  <c r="AH176" i="28"/>
  <c r="AG176" i="28"/>
  <c r="AF176" i="28"/>
  <c r="AE176" i="28"/>
  <c r="AD176" i="28"/>
  <c r="AC176" i="28"/>
  <c r="AB176" i="28"/>
  <c r="AA176" i="28"/>
  <c r="Z176" i="28"/>
  <c r="Y176" i="28"/>
  <c r="L176" i="28"/>
  <c r="K176" i="28"/>
  <c r="J176" i="28"/>
  <c r="I176" i="28"/>
  <c r="H176" i="28"/>
  <c r="G176" i="28"/>
  <c r="F176" i="28"/>
  <c r="E176" i="28"/>
  <c r="D176" i="28"/>
  <c r="C176" i="28"/>
  <c r="BH172" i="28"/>
  <c r="BG172" i="28"/>
  <c r="BF172" i="28"/>
  <c r="BE172" i="28"/>
  <c r="AL172" i="28"/>
  <c r="AK172" i="28"/>
  <c r="AM172" i="28" s="1"/>
  <c r="AJ172" i="28"/>
  <c r="AI172" i="28"/>
  <c r="P172" i="28"/>
  <c r="O172" i="28"/>
  <c r="N172" i="28"/>
  <c r="M172" i="28"/>
  <c r="BD171" i="28"/>
  <c r="BC171" i="28"/>
  <c r="BB171" i="28"/>
  <c r="BA171" i="28"/>
  <c r="AZ171" i="28"/>
  <c r="AY171" i="28"/>
  <c r="AX171" i="28"/>
  <c r="AW171" i="28"/>
  <c r="AV171" i="28"/>
  <c r="AU171" i="28"/>
  <c r="AH171" i="28"/>
  <c r="AG171" i="28"/>
  <c r="AF171" i="28"/>
  <c r="AE171" i="28"/>
  <c r="AD171" i="28"/>
  <c r="AC171" i="28"/>
  <c r="AB171" i="28"/>
  <c r="AA171" i="28"/>
  <c r="Z171" i="28"/>
  <c r="Y171" i="28"/>
  <c r="L171" i="28"/>
  <c r="K171" i="28"/>
  <c r="J171" i="28"/>
  <c r="I171" i="28"/>
  <c r="H171" i="28"/>
  <c r="G171" i="28"/>
  <c r="F171" i="28"/>
  <c r="E171" i="28"/>
  <c r="D171" i="28"/>
  <c r="C171" i="28"/>
  <c r="BH167" i="28"/>
  <c r="BG167" i="28"/>
  <c r="BF167" i="28"/>
  <c r="BE167" i="28"/>
  <c r="AL167" i="28"/>
  <c r="AK167" i="28"/>
  <c r="AJ167" i="28"/>
  <c r="AI167" i="28"/>
  <c r="P167" i="28"/>
  <c r="O167" i="28"/>
  <c r="N167" i="28"/>
  <c r="M167" i="28"/>
  <c r="BD166" i="28"/>
  <c r="BC166" i="28"/>
  <c r="BB166" i="28"/>
  <c r="BA166" i="28"/>
  <c r="AZ166" i="28"/>
  <c r="AY166" i="28"/>
  <c r="AX166" i="28"/>
  <c r="AW166" i="28"/>
  <c r="AV166" i="28"/>
  <c r="AU166" i="28"/>
  <c r="AH166" i="28"/>
  <c r="AG166" i="28"/>
  <c r="AF166" i="28"/>
  <c r="AE166" i="28"/>
  <c r="AD166" i="28"/>
  <c r="AC166" i="28"/>
  <c r="AB166" i="28"/>
  <c r="AA166" i="28"/>
  <c r="Z166" i="28"/>
  <c r="Y166" i="28"/>
  <c r="L166" i="28"/>
  <c r="K166" i="28"/>
  <c r="J166" i="28"/>
  <c r="I166" i="28"/>
  <c r="H166" i="28"/>
  <c r="G166" i="28"/>
  <c r="F166" i="28"/>
  <c r="E166" i="28"/>
  <c r="D166" i="28"/>
  <c r="C166" i="28"/>
  <c r="BH162" i="28"/>
  <c r="BG162" i="28"/>
  <c r="BF162" i="28"/>
  <c r="BE162" i="28"/>
  <c r="AL162" i="28"/>
  <c r="AK162" i="28"/>
  <c r="AJ162" i="28"/>
  <c r="AI162" i="28"/>
  <c r="P162" i="28"/>
  <c r="O162" i="28"/>
  <c r="N162" i="28"/>
  <c r="M162" i="28"/>
  <c r="BD161" i="28"/>
  <c r="BC161" i="28"/>
  <c r="BB161" i="28"/>
  <c r="BA161" i="28"/>
  <c r="AZ161" i="28"/>
  <c r="AY161" i="28"/>
  <c r="AX161" i="28"/>
  <c r="AW161" i="28"/>
  <c r="AV161" i="28"/>
  <c r="AU161" i="28"/>
  <c r="AH161" i="28"/>
  <c r="AG161" i="28"/>
  <c r="AF161" i="28"/>
  <c r="AE161" i="28"/>
  <c r="AD161" i="28"/>
  <c r="AC161" i="28"/>
  <c r="AB161" i="28"/>
  <c r="AA161" i="28"/>
  <c r="Z161" i="28"/>
  <c r="Y161" i="28"/>
  <c r="L161" i="28"/>
  <c r="K161" i="28"/>
  <c r="J161" i="28"/>
  <c r="I161" i="28"/>
  <c r="H161" i="28"/>
  <c r="G161" i="28"/>
  <c r="F161" i="28"/>
  <c r="E161" i="28"/>
  <c r="D161" i="28"/>
  <c r="C161" i="28"/>
  <c r="BH157" i="28"/>
  <c r="BG157" i="28"/>
  <c r="BF157" i="28"/>
  <c r="BE157" i="28"/>
  <c r="AL157" i="28"/>
  <c r="AK157" i="28"/>
  <c r="AJ157" i="28"/>
  <c r="AI157" i="28"/>
  <c r="P157" i="28"/>
  <c r="O157" i="28"/>
  <c r="N157" i="28"/>
  <c r="M157" i="28"/>
  <c r="BD156" i="28"/>
  <c r="BC156" i="28"/>
  <c r="BB156" i="28"/>
  <c r="BA156" i="28"/>
  <c r="AZ156" i="28"/>
  <c r="AY156" i="28"/>
  <c r="AX156" i="28"/>
  <c r="AW156" i="28"/>
  <c r="AV156" i="28"/>
  <c r="AU156" i="28"/>
  <c r="AH156" i="28"/>
  <c r="AG156" i="28"/>
  <c r="AF156" i="28"/>
  <c r="AE156" i="28"/>
  <c r="AD156" i="28"/>
  <c r="AC156" i="28"/>
  <c r="AB156" i="28"/>
  <c r="AA156" i="28"/>
  <c r="Z156" i="28"/>
  <c r="Y156" i="28"/>
  <c r="L156" i="28"/>
  <c r="K156" i="28"/>
  <c r="J156" i="28"/>
  <c r="I156" i="28"/>
  <c r="H156" i="28"/>
  <c r="G156" i="28"/>
  <c r="F156" i="28"/>
  <c r="E156" i="28"/>
  <c r="D156" i="28"/>
  <c r="C156" i="28"/>
  <c r="BH152" i="28"/>
  <c r="BG152" i="28"/>
  <c r="BF152" i="28"/>
  <c r="BE152" i="28"/>
  <c r="AL152" i="28"/>
  <c r="AK152" i="28"/>
  <c r="AJ152" i="28"/>
  <c r="AI152" i="28"/>
  <c r="P152" i="28"/>
  <c r="O152" i="28"/>
  <c r="N152" i="28"/>
  <c r="M152" i="28"/>
  <c r="BD147" i="28"/>
  <c r="BC147" i="28"/>
  <c r="BB147" i="28"/>
  <c r="BA147" i="28"/>
  <c r="AZ147" i="28"/>
  <c r="AY147" i="28"/>
  <c r="AX147" i="28"/>
  <c r="AW147" i="28"/>
  <c r="AV147" i="28"/>
  <c r="AU147" i="28"/>
  <c r="AH147" i="28"/>
  <c r="AG147" i="28"/>
  <c r="AF147" i="28"/>
  <c r="AE147" i="28"/>
  <c r="AD147" i="28"/>
  <c r="AC147" i="28"/>
  <c r="AB147" i="28"/>
  <c r="AA147" i="28"/>
  <c r="Z147" i="28"/>
  <c r="Y147" i="28"/>
  <c r="L147" i="28"/>
  <c r="K147" i="28"/>
  <c r="J147" i="28"/>
  <c r="I147" i="28"/>
  <c r="H147" i="28"/>
  <c r="G147" i="28"/>
  <c r="F147" i="28"/>
  <c r="E147" i="28"/>
  <c r="D147" i="28"/>
  <c r="C147" i="28"/>
  <c r="BH143" i="28"/>
  <c r="BG143" i="28"/>
  <c r="BF143" i="28"/>
  <c r="BE143" i="28"/>
  <c r="AL143" i="28"/>
  <c r="AK143" i="28"/>
  <c r="AJ143" i="28"/>
  <c r="AI143" i="28"/>
  <c r="P143" i="28"/>
  <c r="O143" i="28"/>
  <c r="N143" i="28"/>
  <c r="M143" i="28"/>
  <c r="BD142" i="28"/>
  <c r="BC142" i="28"/>
  <c r="BB142" i="28"/>
  <c r="BA142" i="28"/>
  <c r="AZ142" i="28"/>
  <c r="AY142" i="28"/>
  <c r="AX142" i="28"/>
  <c r="AW142" i="28"/>
  <c r="AV142" i="28"/>
  <c r="AU142" i="28"/>
  <c r="AH142" i="28"/>
  <c r="AG142" i="28"/>
  <c r="AF142" i="28"/>
  <c r="AE142" i="28"/>
  <c r="AD142" i="28"/>
  <c r="AC142" i="28"/>
  <c r="AB142" i="28"/>
  <c r="AA142" i="28"/>
  <c r="Z142" i="28"/>
  <c r="Y142" i="28"/>
  <c r="L142" i="28"/>
  <c r="K142" i="28"/>
  <c r="J142" i="28"/>
  <c r="I142" i="28"/>
  <c r="H142" i="28"/>
  <c r="G142" i="28"/>
  <c r="F142" i="28"/>
  <c r="E142" i="28"/>
  <c r="D142" i="28"/>
  <c r="C142" i="28"/>
  <c r="BH138" i="28"/>
  <c r="BG138" i="28"/>
  <c r="BF138" i="28"/>
  <c r="BE138" i="28"/>
  <c r="AL138" i="28"/>
  <c r="AK138" i="28"/>
  <c r="AJ138" i="28"/>
  <c r="AI138" i="28"/>
  <c r="P138" i="28"/>
  <c r="O138" i="28"/>
  <c r="N138" i="28"/>
  <c r="M138" i="28"/>
  <c r="BD137" i="28"/>
  <c r="BC137" i="28"/>
  <c r="BB137" i="28"/>
  <c r="BA137" i="28"/>
  <c r="AZ137" i="28"/>
  <c r="AY137" i="28"/>
  <c r="AX137" i="28"/>
  <c r="AW137" i="28"/>
  <c r="AV137" i="28"/>
  <c r="AU137" i="28"/>
  <c r="AH137" i="28"/>
  <c r="AG137" i="28"/>
  <c r="AF137" i="28"/>
  <c r="AE137" i="28"/>
  <c r="AD137" i="28"/>
  <c r="AC137" i="28"/>
  <c r="AB137" i="28"/>
  <c r="AA137" i="28"/>
  <c r="Z137" i="28"/>
  <c r="Y137" i="28"/>
  <c r="L137" i="28"/>
  <c r="K137" i="28"/>
  <c r="J137" i="28"/>
  <c r="I137" i="28"/>
  <c r="H137" i="28"/>
  <c r="G137" i="28"/>
  <c r="F137" i="28"/>
  <c r="E137" i="28"/>
  <c r="D137" i="28"/>
  <c r="C137" i="28"/>
  <c r="BH133" i="28"/>
  <c r="BG133" i="28"/>
  <c r="BF133" i="28"/>
  <c r="BE133" i="28"/>
  <c r="AL133" i="28"/>
  <c r="AK133" i="28"/>
  <c r="AJ133" i="28"/>
  <c r="AI133" i="28"/>
  <c r="P133" i="28"/>
  <c r="O133" i="28"/>
  <c r="N133" i="28"/>
  <c r="M133" i="28"/>
  <c r="BD132" i="28"/>
  <c r="BC132" i="28"/>
  <c r="BB132" i="28"/>
  <c r="BA132" i="28"/>
  <c r="AZ132" i="28"/>
  <c r="AY132" i="28"/>
  <c r="AX132" i="28"/>
  <c r="AW132" i="28"/>
  <c r="AV132" i="28"/>
  <c r="AU132" i="28"/>
  <c r="AH132" i="28"/>
  <c r="AG132" i="28"/>
  <c r="AF132" i="28"/>
  <c r="AE132" i="28"/>
  <c r="AD132" i="28"/>
  <c r="AC132" i="28"/>
  <c r="AB132" i="28"/>
  <c r="AA132" i="28"/>
  <c r="Z132" i="28"/>
  <c r="Y132" i="28"/>
  <c r="L132" i="28"/>
  <c r="K132" i="28"/>
  <c r="J132" i="28"/>
  <c r="I132" i="28"/>
  <c r="H132" i="28"/>
  <c r="G132" i="28"/>
  <c r="F132" i="28"/>
  <c r="E132" i="28"/>
  <c r="D132" i="28"/>
  <c r="C132" i="28"/>
  <c r="BH128" i="28"/>
  <c r="BG128" i="28"/>
  <c r="BF128" i="28"/>
  <c r="BE128" i="28"/>
  <c r="AL128" i="28"/>
  <c r="AK128" i="28"/>
  <c r="AJ128" i="28"/>
  <c r="AI128" i="28"/>
  <c r="P128" i="28"/>
  <c r="O128" i="28"/>
  <c r="N128" i="28"/>
  <c r="M128" i="28"/>
  <c r="BD127" i="28"/>
  <c r="BC127" i="28"/>
  <c r="BB127" i="28"/>
  <c r="BA127" i="28"/>
  <c r="AZ127" i="28"/>
  <c r="AY127" i="28"/>
  <c r="AX127" i="28"/>
  <c r="AW127" i="28"/>
  <c r="AV127" i="28"/>
  <c r="AU127" i="28"/>
  <c r="AH127" i="28"/>
  <c r="AG127" i="28"/>
  <c r="AF127" i="28"/>
  <c r="AE127" i="28"/>
  <c r="AD127" i="28"/>
  <c r="AC127" i="28"/>
  <c r="AB127" i="28"/>
  <c r="AA127" i="28"/>
  <c r="Z127" i="28"/>
  <c r="Y127" i="28"/>
  <c r="L127" i="28"/>
  <c r="K127" i="28"/>
  <c r="J127" i="28"/>
  <c r="I127" i="28"/>
  <c r="H127" i="28"/>
  <c r="G127" i="28"/>
  <c r="F127" i="28"/>
  <c r="E127" i="28"/>
  <c r="D127" i="28"/>
  <c r="C127" i="28"/>
  <c r="BH123" i="28"/>
  <c r="BG123" i="28"/>
  <c r="BF123" i="28"/>
  <c r="BE123" i="28"/>
  <c r="AL123" i="28"/>
  <c r="AK123" i="28"/>
  <c r="AJ123" i="28"/>
  <c r="AI123" i="28"/>
  <c r="P123" i="28"/>
  <c r="O123" i="28"/>
  <c r="N123" i="28"/>
  <c r="M123" i="28"/>
  <c r="BD118" i="28"/>
  <c r="BC118" i="28"/>
  <c r="BB118" i="28"/>
  <c r="BA118" i="28"/>
  <c r="AZ118" i="28"/>
  <c r="AY118" i="28"/>
  <c r="AX118" i="28"/>
  <c r="AW118" i="28"/>
  <c r="AV118" i="28"/>
  <c r="AU118" i="28"/>
  <c r="AH118" i="28"/>
  <c r="AG118" i="28"/>
  <c r="AF118" i="28"/>
  <c r="AE118" i="28"/>
  <c r="AD118" i="28"/>
  <c r="AC118" i="28"/>
  <c r="AB118" i="28"/>
  <c r="AA118" i="28"/>
  <c r="Z118" i="28"/>
  <c r="Y118" i="28"/>
  <c r="L118" i="28"/>
  <c r="K118" i="28"/>
  <c r="J118" i="28"/>
  <c r="I118" i="28"/>
  <c r="H118" i="28"/>
  <c r="G118" i="28"/>
  <c r="F118" i="28"/>
  <c r="E118" i="28"/>
  <c r="D118" i="28"/>
  <c r="C118" i="28"/>
  <c r="BH114" i="28"/>
  <c r="BG114" i="28"/>
  <c r="BF114" i="28"/>
  <c r="BE114" i="28"/>
  <c r="AL114" i="28"/>
  <c r="AK114" i="28"/>
  <c r="AJ114" i="28"/>
  <c r="AI114" i="28"/>
  <c r="P114" i="28"/>
  <c r="O114" i="28"/>
  <c r="N114" i="28"/>
  <c r="M114" i="28"/>
  <c r="BD113" i="28"/>
  <c r="BC113" i="28"/>
  <c r="BB113" i="28"/>
  <c r="BA113" i="28"/>
  <c r="AZ113" i="28"/>
  <c r="AY113" i="28"/>
  <c r="AX113" i="28"/>
  <c r="AW113" i="28"/>
  <c r="AV113" i="28"/>
  <c r="AU113" i="28"/>
  <c r="AH113" i="28"/>
  <c r="AG113" i="28"/>
  <c r="AF113" i="28"/>
  <c r="AE113" i="28"/>
  <c r="AD113" i="28"/>
  <c r="AC113" i="28"/>
  <c r="AB113" i="28"/>
  <c r="AA113" i="28"/>
  <c r="Z113" i="28"/>
  <c r="Y113" i="28"/>
  <c r="L113" i="28"/>
  <c r="K113" i="28"/>
  <c r="J113" i="28"/>
  <c r="I113" i="28"/>
  <c r="H113" i="28"/>
  <c r="G113" i="28"/>
  <c r="F113" i="28"/>
  <c r="E113" i="28"/>
  <c r="D113" i="28"/>
  <c r="C113" i="28"/>
  <c r="BH109" i="28"/>
  <c r="BG109" i="28"/>
  <c r="BF109" i="28"/>
  <c r="BE109" i="28"/>
  <c r="AL109" i="28"/>
  <c r="AK109" i="28"/>
  <c r="AJ109" i="28"/>
  <c r="AI109" i="28"/>
  <c r="P109" i="28"/>
  <c r="O109" i="28"/>
  <c r="N109" i="28"/>
  <c r="M109" i="28"/>
  <c r="BD108" i="28"/>
  <c r="BC108" i="28"/>
  <c r="BB108" i="28"/>
  <c r="BA108" i="28"/>
  <c r="AZ108" i="28"/>
  <c r="AY108" i="28"/>
  <c r="AX108" i="28"/>
  <c r="AW108" i="28"/>
  <c r="AV108" i="28"/>
  <c r="AU108" i="28"/>
  <c r="AH108" i="28"/>
  <c r="AG108" i="28"/>
  <c r="AF108" i="28"/>
  <c r="AE108" i="28"/>
  <c r="AD108" i="28"/>
  <c r="AC108" i="28"/>
  <c r="AB108" i="28"/>
  <c r="AA108" i="28"/>
  <c r="Z108" i="28"/>
  <c r="Y108" i="28"/>
  <c r="L108" i="28"/>
  <c r="K108" i="28"/>
  <c r="J108" i="28"/>
  <c r="I108" i="28"/>
  <c r="H108" i="28"/>
  <c r="G108" i="28"/>
  <c r="F108" i="28"/>
  <c r="E108" i="28"/>
  <c r="D108" i="28"/>
  <c r="C108" i="28"/>
  <c r="BH104" i="28"/>
  <c r="BG104" i="28"/>
  <c r="BF104" i="28"/>
  <c r="BE104" i="28"/>
  <c r="AL104" i="28"/>
  <c r="AK104" i="28"/>
  <c r="AJ104" i="28"/>
  <c r="AI104" i="28"/>
  <c r="P104" i="28"/>
  <c r="O104" i="28"/>
  <c r="N104" i="28"/>
  <c r="M104" i="28"/>
  <c r="BD103" i="28"/>
  <c r="BC103" i="28"/>
  <c r="BB103" i="28"/>
  <c r="BA103" i="28"/>
  <c r="AZ103" i="28"/>
  <c r="AY103" i="28"/>
  <c r="AX103" i="28"/>
  <c r="AW103" i="28"/>
  <c r="AV103" i="28"/>
  <c r="AU103" i="28"/>
  <c r="AH103" i="28"/>
  <c r="AG103" i="28"/>
  <c r="AF103" i="28"/>
  <c r="AE103" i="28"/>
  <c r="AD103" i="28"/>
  <c r="AC103" i="28"/>
  <c r="AB103" i="28"/>
  <c r="AA103" i="28"/>
  <c r="Z103" i="28"/>
  <c r="Y103" i="28"/>
  <c r="L103" i="28"/>
  <c r="K103" i="28"/>
  <c r="J103" i="28"/>
  <c r="I103" i="28"/>
  <c r="H103" i="28"/>
  <c r="G103" i="28"/>
  <c r="F103" i="28"/>
  <c r="E103" i="28"/>
  <c r="D103" i="28"/>
  <c r="C103" i="28"/>
  <c r="BH99" i="28"/>
  <c r="BG99" i="28"/>
  <c r="BF99" i="28"/>
  <c r="BE99" i="28"/>
  <c r="AL99" i="28"/>
  <c r="AK99" i="28"/>
  <c r="AJ99" i="28"/>
  <c r="AI99" i="28"/>
  <c r="P99" i="28"/>
  <c r="O99" i="28"/>
  <c r="N99" i="28"/>
  <c r="M99" i="28"/>
  <c r="BD98" i="28"/>
  <c r="BC98" i="28"/>
  <c r="BB98" i="28"/>
  <c r="BA98" i="28"/>
  <c r="AZ98" i="28"/>
  <c r="AY98" i="28"/>
  <c r="AX98" i="28"/>
  <c r="AW98" i="28"/>
  <c r="AV98" i="28"/>
  <c r="AU98" i="28"/>
  <c r="AH98" i="28"/>
  <c r="AG98" i="28"/>
  <c r="AF98" i="28"/>
  <c r="AE98" i="28"/>
  <c r="AD98" i="28"/>
  <c r="AC98" i="28"/>
  <c r="AB98" i="28"/>
  <c r="AA98" i="28"/>
  <c r="Z98" i="28"/>
  <c r="Y98" i="28"/>
  <c r="L98" i="28"/>
  <c r="K98" i="28"/>
  <c r="J98" i="28"/>
  <c r="I98" i="28"/>
  <c r="H98" i="28"/>
  <c r="G98" i="28"/>
  <c r="F98" i="28"/>
  <c r="E98" i="28"/>
  <c r="D98" i="28"/>
  <c r="C98" i="28"/>
  <c r="BH94" i="28"/>
  <c r="BG94" i="28"/>
  <c r="BF94" i="28"/>
  <c r="BE94" i="28"/>
  <c r="AL94" i="28"/>
  <c r="AK94" i="28"/>
  <c r="AJ94" i="28"/>
  <c r="AI94" i="28"/>
  <c r="P94" i="28"/>
  <c r="O94" i="28"/>
  <c r="N94" i="28"/>
  <c r="M94" i="28"/>
  <c r="BD89" i="28"/>
  <c r="BC89" i="28"/>
  <c r="BB89" i="28"/>
  <c r="BA89" i="28"/>
  <c r="AZ89" i="28"/>
  <c r="AY89" i="28"/>
  <c r="AX89" i="28"/>
  <c r="AW89" i="28"/>
  <c r="AV89" i="28"/>
  <c r="AU89" i="28"/>
  <c r="AH89" i="28"/>
  <c r="AG89" i="28"/>
  <c r="AF89" i="28"/>
  <c r="AE89" i="28"/>
  <c r="AD89" i="28"/>
  <c r="AC89" i="28"/>
  <c r="AB89" i="28"/>
  <c r="AA89" i="28"/>
  <c r="Z89" i="28"/>
  <c r="Y89" i="28"/>
  <c r="L89" i="28"/>
  <c r="K89" i="28"/>
  <c r="J89" i="28"/>
  <c r="I89" i="28"/>
  <c r="H89" i="28"/>
  <c r="G89" i="28"/>
  <c r="F89" i="28"/>
  <c r="E89" i="28"/>
  <c r="D89" i="28"/>
  <c r="C89" i="28"/>
  <c r="BH85" i="28"/>
  <c r="BG85" i="28"/>
  <c r="BF85" i="28"/>
  <c r="BE85" i="28"/>
  <c r="AL85" i="28"/>
  <c r="AK85" i="28"/>
  <c r="AJ85" i="28"/>
  <c r="AI85" i="28"/>
  <c r="P85" i="28"/>
  <c r="O85" i="28"/>
  <c r="N85" i="28"/>
  <c r="M85" i="28"/>
  <c r="BD84" i="28"/>
  <c r="BC84" i="28"/>
  <c r="BB84" i="28"/>
  <c r="BA84" i="28"/>
  <c r="AZ84" i="28"/>
  <c r="AY84" i="28"/>
  <c r="AX84" i="28"/>
  <c r="AW84" i="28"/>
  <c r="AV84" i="28"/>
  <c r="AU84" i="28"/>
  <c r="AH84" i="28"/>
  <c r="AG84" i="28"/>
  <c r="AF84" i="28"/>
  <c r="AE84" i="28"/>
  <c r="AD84" i="28"/>
  <c r="AC84" i="28"/>
  <c r="AB84" i="28"/>
  <c r="AA84" i="28"/>
  <c r="Z84" i="28"/>
  <c r="Y84" i="28"/>
  <c r="L84" i="28"/>
  <c r="K84" i="28"/>
  <c r="J84" i="28"/>
  <c r="I84" i="28"/>
  <c r="H84" i="28"/>
  <c r="G84" i="28"/>
  <c r="F84" i="28"/>
  <c r="E84" i="28"/>
  <c r="D84" i="28"/>
  <c r="C84" i="28"/>
  <c r="BH80" i="28"/>
  <c r="BG80" i="28"/>
  <c r="BF80" i="28"/>
  <c r="BE80" i="28"/>
  <c r="AL80" i="28"/>
  <c r="AK80" i="28"/>
  <c r="AJ80" i="28"/>
  <c r="AI80" i="28"/>
  <c r="P80" i="28"/>
  <c r="O80" i="28"/>
  <c r="N80" i="28"/>
  <c r="M80" i="28"/>
  <c r="BD79" i="28"/>
  <c r="BC79" i="28"/>
  <c r="BB79" i="28"/>
  <c r="BA79" i="28"/>
  <c r="AZ79" i="28"/>
  <c r="AY79" i="28"/>
  <c r="AX79" i="28"/>
  <c r="AW79" i="28"/>
  <c r="AV79" i="28"/>
  <c r="AU79" i="28"/>
  <c r="AH79" i="28"/>
  <c r="AG79" i="28"/>
  <c r="AF79" i="28"/>
  <c r="AE79" i="28"/>
  <c r="AD79" i="28"/>
  <c r="AC79" i="28"/>
  <c r="AB79" i="28"/>
  <c r="AA79" i="28"/>
  <c r="Z79" i="28"/>
  <c r="Y79" i="28"/>
  <c r="L79" i="28"/>
  <c r="K79" i="28"/>
  <c r="J79" i="28"/>
  <c r="I79" i="28"/>
  <c r="H79" i="28"/>
  <c r="G79" i="28"/>
  <c r="F79" i="28"/>
  <c r="E79" i="28"/>
  <c r="D79" i="28"/>
  <c r="C79" i="28"/>
  <c r="BH75" i="28"/>
  <c r="BG75" i="28"/>
  <c r="BF75" i="28"/>
  <c r="BE75" i="28"/>
  <c r="AL75" i="28"/>
  <c r="AK75" i="28"/>
  <c r="AJ75" i="28"/>
  <c r="AI75" i="28"/>
  <c r="P75" i="28"/>
  <c r="O75" i="28"/>
  <c r="N75" i="28"/>
  <c r="M75" i="28"/>
  <c r="BD74" i="28"/>
  <c r="BC74" i="28"/>
  <c r="BB74" i="28"/>
  <c r="BA74" i="28"/>
  <c r="AZ74" i="28"/>
  <c r="AY74" i="28"/>
  <c r="AX74" i="28"/>
  <c r="AW74" i="28"/>
  <c r="AV74" i="28"/>
  <c r="AU74" i="28"/>
  <c r="AH74" i="28"/>
  <c r="AG74" i="28"/>
  <c r="AF74" i="28"/>
  <c r="AE74" i="28"/>
  <c r="AD74" i="28"/>
  <c r="AC74" i="28"/>
  <c r="AB74" i="28"/>
  <c r="AA74" i="28"/>
  <c r="Z74" i="28"/>
  <c r="Y74" i="28"/>
  <c r="L74" i="28"/>
  <c r="K74" i="28"/>
  <c r="J74" i="28"/>
  <c r="I74" i="28"/>
  <c r="H74" i="28"/>
  <c r="G74" i="28"/>
  <c r="F74" i="28"/>
  <c r="E74" i="28"/>
  <c r="D74" i="28"/>
  <c r="C74" i="28"/>
  <c r="BH70" i="28"/>
  <c r="BG70" i="28"/>
  <c r="BF70" i="28"/>
  <c r="BE70" i="28"/>
  <c r="AL70" i="28"/>
  <c r="AK70" i="28"/>
  <c r="AJ70" i="28"/>
  <c r="AI70" i="28"/>
  <c r="P70" i="28"/>
  <c r="O70" i="28"/>
  <c r="N70" i="28"/>
  <c r="M70" i="28"/>
  <c r="BD69" i="28"/>
  <c r="BC69" i="28"/>
  <c r="BB69" i="28"/>
  <c r="BA69" i="28"/>
  <c r="AZ69" i="28"/>
  <c r="AY69" i="28"/>
  <c r="AX69" i="28"/>
  <c r="AW69" i="28"/>
  <c r="AV69" i="28"/>
  <c r="AU69" i="28"/>
  <c r="AH69" i="28"/>
  <c r="AG69" i="28"/>
  <c r="AF69" i="28"/>
  <c r="AE69" i="28"/>
  <c r="AD69" i="28"/>
  <c r="AC69" i="28"/>
  <c r="AB69" i="28"/>
  <c r="AA69" i="28"/>
  <c r="Z69" i="28"/>
  <c r="Y69" i="28"/>
  <c r="L69" i="28"/>
  <c r="K69" i="28"/>
  <c r="J69" i="28"/>
  <c r="I69" i="28"/>
  <c r="H69" i="28"/>
  <c r="G69" i="28"/>
  <c r="F69" i="28"/>
  <c r="E69" i="28"/>
  <c r="D69" i="28"/>
  <c r="C69" i="28"/>
  <c r="BH65" i="28"/>
  <c r="BG65" i="28"/>
  <c r="BF65" i="28"/>
  <c r="BE65" i="28"/>
  <c r="AL65" i="28"/>
  <c r="AK65" i="28"/>
  <c r="AJ65" i="28"/>
  <c r="AI65" i="28"/>
  <c r="P65" i="28"/>
  <c r="O65" i="28"/>
  <c r="N65" i="28"/>
  <c r="M65" i="28"/>
  <c r="H5" i="2"/>
  <c r="D6" i="2"/>
  <c r="BD11" i="28"/>
  <c r="BC11" i="28"/>
  <c r="BB11" i="28"/>
  <c r="BA11" i="28"/>
  <c r="AZ11" i="28"/>
  <c r="AY11" i="28"/>
  <c r="AX11" i="28"/>
  <c r="AW11" i="28"/>
  <c r="AV11" i="28"/>
  <c r="AU11" i="28"/>
  <c r="AM326" i="28" l="1"/>
  <c r="BI297" i="28"/>
  <c r="Q239" i="28"/>
  <c r="Q99" i="28"/>
  <c r="AM109" i="28"/>
  <c r="BI109" i="28"/>
  <c r="AM123" i="28"/>
  <c r="Q143" i="28"/>
  <c r="AM143" i="28"/>
  <c r="BI143" i="28"/>
  <c r="Q157" i="28"/>
  <c r="AM157" i="28"/>
  <c r="AM167" i="28"/>
  <c r="BI167" i="28"/>
  <c r="AM210" i="28"/>
  <c r="AM85" i="28"/>
  <c r="Q167" i="28"/>
  <c r="BI128" i="28"/>
  <c r="AM138" i="28"/>
  <c r="Q162" i="28"/>
  <c r="BI162" i="28"/>
  <c r="BI172" i="28"/>
  <c r="Q186" i="28"/>
  <c r="Q196" i="28"/>
  <c r="AM196" i="28"/>
  <c r="BI196" i="28"/>
  <c r="BI186" i="28"/>
  <c r="AM186" i="28"/>
  <c r="AM181" i="28"/>
  <c r="BI152" i="28"/>
  <c r="BI80" i="28"/>
  <c r="AM114" i="28"/>
  <c r="Q128" i="28"/>
  <c r="Q138" i="28"/>
  <c r="BB324" i="28"/>
  <c r="AV324" i="28" s="1"/>
  <c r="AZ42" i="2" s="1"/>
  <c r="AM65" i="28"/>
  <c r="AM191" i="28"/>
  <c r="BI225" i="28"/>
  <c r="BI307" i="28"/>
  <c r="Q80" i="28"/>
  <c r="BI138" i="28"/>
  <c r="AM268" i="28"/>
  <c r="Q288" i="28"/>
  <c r="J266" i="28" s="1"/>
  <c r="BI288" i="28"/>
  <c r="BI181" i="28"/>
  <c r="BI220" i="28"/>
  <c r="BI302" i="28"/>
  <c r="BB295" i="28" s="1"/>
  <c r="AM152" i="28"/>
  <c r="AM162" i="28"/>
  <c r="Q172" i="28"/>
  <c r="BI273" i="28"/>
  <c r="Q283" i="28"/>
  <c r="AM288" i="28"/>
  <c r="BI210" i="28"/>
  <c r="AM297" i="28"/>
  <c r="AM278" i="28"/>
  <c r="AM273" i="28"/>
  <c r="BI254" i="28"/>
  <c r="Q244" i="28"/>
  <c r="BI230" i="28"/>
  <c r="BI215" i="28"/>
  <c r="Q181" i="28"/>
  <c r="BI157" i="28"/>
  <c r="AM70" i="28"/>
  <c r="AM312" i="28"/>
  <c r="AM307" i="28"/>
  <c r="AM302" i="28"/>
  <c r="AM283" i="28"/>
  <c r="BI244" i="28"/>
  <c r="AM249" i="28"/>
  <c r="AM244" i="28"/>
  <c r="AM239" i="28"/>
  <c r="AM254" i="28"/>
  <c r="Q254" i="28"/>
  <c r="Q249" i="28"/>
  <c r="AM225" i="28"/>
  <c r="AM220" i="28"/>
  <c r="AM215" i="28"/>
  <c r="Q220" i="28"/>
  <c r="Q215" i="28"/>
  <c r="Q230" i="28"/>
  <c r="Q225" i="28"/>
  <c r="Q210" i="28"/>
  <c r="Q152" i="28"/>
  <c r="BI133" i="28"/>
  <c r="BI123" i="28"/>
  <c r="Q133" i="28"/>
  <c r="Q65" i="28"/>
  <c r="Q70" i="28"/>
  <c r="Q75" i="28"/>
  <c r="BI75" i="28"/>
  <c r="Q109" i="28"/>
  <c r="Q123" i="28"/>
  <c r="AM128" i="28"/>
  <c r="AF324" i="28"/>
  <c r="Q85" i="28"/>
  <c r="Q104" i="28"/>
  <c r="BI104" i="28"/>
  <c r="Q114" i="28"/>
  <c r="AM133" i="28"/>
  <c r="AM80" i="28"/>
  <c r="BI85" i="28"/>
  <c r="AM104" i="28"/>
  <c r="BI114" i="28"/>
  <c r="BI99" i="28"/>
  <c r="BI94" i="28"/>
  <c r="AM99" i="28"/>
  <c r="AM94" i="28"/>
  <c r="Q94" i="28"/>
  <c r="BI70" i="28"/>
  <c r="BI65" i="28"/>
  <c r="AM75" i="28"/>
  <c r="J324" i="28"/>
  <c r="J295" i="28"/>
  <c r="BB150" i="28" l="1"/>
  <c r="BB266" i="28"/>
  <c r="J179" i="28"/>
  <c r="BB179" i="28"/>
  <c r="AZ70" i="2" s="1"/>
  <c r="AF179" i="28"/>
  <c r="Z179" i="28" s="1"/>
  <c r="AZ26" i="2" s="1"/>
  <c r="J150" i="28"/>
  <c r="AZ65" i="2" s="1"/>
  <c r="BB237" i="28"/>
  <c r="AV237" i="28" s="1"/>
  <c r="AZ33" i="2" s="1"/>
  <c r="AF150" i="28"/>
  <c r="Z150" i="28" s="1"/>
  <c r="AZ23" i="2" s="1"/>
  <c r="AZ85" i="2"/>
  <c r="AF121" i="28"/>
  <c r="Z121" i="28" s="1"/>
  <c r="AZ20" i="2" s="1"/>
  <c r="BB121" i="28"/>
  <c r="AV121" i="28" s="1"/>
  <c r="AZ21" i="2" s="1"/>
  <c r="D21" i="2" s="1"/>
  <c r="AF266" i="28"/>
  <c r="Z266" i="28" s="1"/>
  <c r="AZ35" i="2" s="1"/>
  <c r="D324" i="28"/>
  <c r="AZ40" i="2" s="1"/>
  <c r="AZ83" i="2"/>
  <c r="Z324" i="28"/>
  <c r="AZ41" i="2" s="1"/>
  <c r="AZ84" i="2"/>
  <c r="AF295" i="28"/>
  <c r="Z295" i="28" s="1"/>
  <c r="AZ38" i="2" s="1"/>
  <c r="BB208" i="28"/>
  <c r="AZ73" i="2" s="1"/>
  <c r="J121" i="28"/>
  <c r="D121" i="28" s="1"/>
  <c r="AZ19" i="2" s="1"/>
  <c r="J92" i="28"/>
  <c r="D92" i="28" s="1"/>
  <c r="AZ16" i="2" s="1"/>
  <c r="AF63" i="28"/>
  <c r="Z63" i="28" s="1"/>
  <c r="AZ14" i="2" s="1"/>
  <c r="AV266" i="28"/>
  <c r="AZ36" i="2" s="1"/>
  <c r="AZ79" i="2"/>
  <c r="D295" i="28"/>
  <c r="AZ37" i="2" s="1"/>
  <c r="AZ80" i="2"/>
  <c r="AV295" i="28"/>
  <c r="AZ39" i="2" s="1"/>
  <c r="AZ82" i="2"/>
  <c r="D266" i="28"/>
  <c r="AZ34" i="2" s="1"/>
  <c r="AZ77" i="2"/>
  <c r="J208" i="28"/>
  <c r="AZ71" i="2" s="1"/>
  <c r="AF208" i="28"/>
  <c r="Z208" i="28" s="1"/>
  <c r="AZ29" i="2" s="1"/>
  <c r="D179" i="28"/>
  <c r="AZ25" i="2" s="1"/>
  <c r="AZ68" i="2"/>
  <c r="AV150" i="28"/>
  <c r="AZ24" i="2" s="1"/>
  <c r="AZ67" i="2"/>
  <c r="J63" i="28"/>
  <c r="D63" i="28" s="1"/>
  <c r="AZ13" i="2" s="1"/>
  <c r="AF237" i="28"/>
  <c r="J237" i="28"/>
  <c r="BB92" i="28"/>
  <c r="AF92" i="28"/>
  <c r="BB63" i="28"/>
  <c r="P349" i="29"/>
  <c r="AZ76" i="2" l="1"/>
  <c r="AZ78" i="2"/>
  <c r="AV179" i="28"/>
  <c r="AZ27" i="2" s="1"/>
  <c r="AZ69" i="2"/>
  <c r="AZ66" i="2"/>
  <c r="D150" i="28"/>
  <c r="AZ22" i="2" s="1"/>
  <c r="AZ64" i="2"/>
  <c r="AZ81" i="2"/>
  <c r="AZ57" i="2"/>
  <c r="AZ62" i="2"/>
  <c r="AZ63" i="2"/>
  <c r="AV208" i="28"/>
  <c r="AZ30" i="2" s="1"/>
  <c r="AZ59" i="2"/>
  <c r="Z237" i="28"/>
  <c r="AZ32" i="2" s="1"/>
  <c r="AZ75" i="2"/>
  <c r="D237" i="28"/>
  <c r="AZ31" i="2" s="1"/>
  <c r="AZ74" i="2"/>
  <c r="D208" i="28"/>
  <c r="AZ28" i="2" s="1"/>
  <c r="AZ72" i="2"/>
  <c r="Z92" i="28"/>
  <c r="AZ17" i="2" s="1"/>
  <c r="AZ60" i="2"/>
  <c r="AV92" i="28"/>
  <c r="AZ18" i="2" s="1"/>
  <c r="AZ61" i="2"/>
  <c r="AV63" i="28"/>
  <c r="AZ15" i="2" s="1"/>
  <c r="AZ58" i="2"/>
  <c r="AZ56" i="2"/>
  <c r="BB60" i="6" l="1"/>
  <c r="BB47" i="6"/>
  <c r="AU48" i="5"/>
  <c r="D48" i="5" s="1"/>
  <c r="BB42" i="6" l="1"/>
  <c r="BB36" i="6"/>
  <c r="AZ30" i="3"/>
  <c r="BB29" i="6"/>
  <c r="AZ31" i="3"/>
  <c r="AU36" i="5"/>
  <c r="D36" i="5" s="1"/>
  <c r="AU54" i="5"/>
  <c r="D54" i="5" s="1"/>
  <c r="AU30" i="5"/>
  <c r="D30" i="5" s="1"/>
  <c r="AU31" i="5"/>
  <c r="D31" i="5" s="1"/>
  <c r="AZ36" i="3"/>
  <c r="AZ37" i="3"/>
  <c r="AU61" i="5"/>
  <c r="D61" i="5" s="1"/>
  <c r="AZ61" i="3"/>
  <c r="AU60" i="5"/>
  <c r="D60" i="5" s="1"/>
  <c r="AZ60" i="3"/>
  <c r="AZ48" i="3"/>
  <c r="AZ42" i="3"/>
  <c r="BB30" i="6"/>
  <c r="BB59" i="6"/>
  <c r="AZ54" i="3"/>
  <c r="BB53" i="6"/>
  <c r="AU42" i="5"/>
  <c r="D42" i="5" s="1"/>
  <c r="AU37" i="5"/>
  <c r="D37" i="5" s="1"/>
  <c r="BB35" i="6"/>
  <c r="H73" i="10"/>
  <c r="G73" i="10"/>
  <c r="F73" i="10"/>
  <c r="BB41" i="6" l="1"/>
  <c r="H72" i="10"/>
  <c r="F72" i="10"/>
  <c r="H71" i="10" l="1"/>
  <c r="H68" i="10" l="1"/>
  <c r="H62" i="10" l="1"/>
  <c r="H63" i="10"/>
  <c r="H64" i="10"/>
  <c r="H65" i="10"/>
  <c r="H66" i="10"/>
  <c r="H67" i="10"/>
  <c r="H69" i="10"/>
  <c r="H70" i="10"/>
  <c r="H61" i="10"/>
  <c r="H56" i="10"/>
  <c r="G68" i="10" l="1"/>
  <c r="G69" i="10"/>
  <c r="G70" i="10"/>
  <c r="G71" i="10"/>
  <c r="G72" i="10"/>
  <c r="F70" i="10" l="1"/>
  <c r="F71" i="10"/>
  <c r="F68" i="10"/>
  <c r="F69" i="10"/>
  <c r="F67" i="10" l="1"/>
  <c r="G67" i="10"/>
  <c r="G63" i="10" l="1"/>
  <c r="G64" i="10"/>
  <c r="G65" i="10"/>
  <c r="G66" i="10"/>
  <c r="G62" i="10" l="1"/>
  <c r="G61" i="10" l="1"/>
  <c r="F61" i="10"/>
  <c r="F62" i="10" l="1"/>
  <c r="F63" i="10"/>
  <c r="F64" i="10"/>
  <c r="F65" i="10"/>
  <c r="F66" i="10"/>
  <c r="G3" i="31" l="1"/>
  <c r="BB58" i="6" l="1"/>
  <c r="BB52" i="6"/>
  <c r="BB54" i="6"/>
  <c r="BB48" i="6"/>
  <c r="BB40" i="6"/>
  <c r="BB34" i="6"/>
  <c r="AU55" i="5"/>
  <c r="D55" i="5" s="1"/>
  <c r="AU47" i="5"/>
  <c r="D47" i="5" s="1"/>
  <c r="AU49" i="5"/>
  <c r="D49" i="5" s="1"/>
  <c r="AU43" i="5"/>
  <c r="D43" i="5" s="1"/>
  <c r="BB28" i="6" l="1"/>
  <c r="AU41" i="5"/>
  <c r="D41" i="5" s="1"/>
  <c r="AU53" i="5"/>
  <c r="D53" i="5" s="1"/>
  <c r="AU59" i="5"/>
  <c r="D59" i="5" s="1"/>
  <c r="AU35" i="5"/>
  <c r="D35" i="5" s="1"/>
  <c r="AU29" i="5"/>
  <c r="D29" i="5" s="1"/>
  <c r="BB23" i="6"/>
  <c r="BB46" i="6"/>
  <c r="AU24" i="5"/>
  <c r="D24" i="5" s="1"/>
  <c r="AU17" i="5"/>
  <c r="D17" i="5" s="1"/>
  <c r="AU11" i="5"/>
  <c r="D11" i="5" s="1"/>
  <c r="BB9" i="6"/>
  <c r="BB10" i="6"/>
  <c r="BB22" i="6"/>
  <c r="AU18" i="5"/>
  <c r="D18" i="5" s="1"/>
  <c r="AU9" i="5"/>
  <c r="D9" i="5" s="1"/>
  <c r="AU12" i="5"/>
  <c r="D12" i="5" s="1"/>
  <c r="AU23" i="5"/>
  <c r="D23" i="5" s="1"/>
  <c r="AU10" i="5"/>
  <c r="D10" i="5" s="1"/>
  <c r="BB11" i="6"/>
  <c r="BB17" i="6"/>
  <c r="BB16" i="6"/>
  <c r="R21" i="29" l="1"/>
  <c r="S21" i="29" s="1"/>
  <c r="O28" i="27" l="1"/>
  <c r="O27" i="27" l="1"/>
  <c r="E14" i="25" l="1"/>
  <c r="F6" i="5" l="1"/>
  <c r="P369" i="29"/>
  <c r="P368" i="29"/>
  <c r="P367" i="29"/>
  <c r="P366" i="29"/>
  <c r="P364" i="29"/>
  <c r="P363" i="29"/>
  <c r="P362" i="29"/>
  <c r="P361" i="29"/>
  <c r="P360" i="29"/>
  <c r="P359" i="29"/>
  <c r="T358" i="29"/>
  <c r="R358" i="29"/>
  <c r="P358" i="29"/>
  <c r="T357" i="29"/>
  <c r="R357" i="29"/>
  <c r="P357" i="29"/>
  <c r="T356" i="29"/>
  <c r="R356" i="29"/>
  <c r="P356" i="29"/>
  <c r="T355" i="29"/>
  <c r="R355" i="29"/>
  <c r="P355" i="29"/>
  <c r="T354" i="29"/>
  <c r="R354" i="29"/>
  <c r="P354" i="29"/>
  <c r="T353" i="29"/>
  <c r="R353" i="29"/>
  <c r="P353" i="29"/>
  <c r="T352" i="29"/>
  <c r="R352" i="29"/>
  <c r="P352" i="29"/>
  <c r="T351" i="29"/>
  <c r="R351" i="29"/>
  <c r="P351" i="29"/>
  <c r="T350" i="29"/>
  <c r="R350" i="29"/>
  <c r="P350" i="29"/>
  <c r="T349" i="29"/>
  <c r="R349" i="29"/>
  <c r="T348" i="29"/>
  <c r="R348" i="29"/>
  <c r="P348" i="29"/>
  <c r="T347" i="29"/>
  <c r="R347" i="29"/>
  <c r="P347" i="29"/>
  <c r="T346" i="29"/>
  <c r="R346" i="29"/>
  <c r="P346" i="29"/>
  <c r="T345" i="29"/>
  <c r="R345" i="29"/>
  <c r="P345" i="29"/>
  <c r="T344" i="29"/>
  <c r="R344" i="29"/>
  <c r="P344" i="29"/>
  <c r="T343" i="29"/>
  <c r="R343" i="29"/>
  <c r="P343" i="29"/>
  <c r="T342" i="29"/>
  <c r="R342" i="29"/>
  <c r="P342" i="29"/>
  <c r="T341" i="29"/>
  <c r="R341" i="29"/>
  <c r="P341" i="29"/>
  <c r="T340" i="29"/>
  <c r="R340" i="29"/>
  <c r="P340" i="29"/>
  <c r="T339" i="29"/>
  <c r="R339" i="29"/>
  <c r="P339" i="29"/>
  <c r="T338" i="29"/>
  <c r="R338" i="29"/>
  <c r="P338" i="29"/>
  <c r="T337" i="29"/>
  <c r="R337" i="29"/>
  <c r="P337" i="29"/>
  <c r="T336" i="29"/>
  <c r="R336" i="29"/>
  <c r="P336" i="29"/>
  <c r="T335" i="29"/>
  <c r="R335" i="29"/>
  <c r="P335" i="29"/>
  <c r="T334" i="29"/>
  <c r="R334" i="29"/>
  <c r="P334" i="29"/>
  <c r="T328" i="29"/>
  <c r="R328" i="29"/>
  <c r="P328" i="29"/>
  <c r="T327" i="29"/>
  <c r="R327" i="29"/>
  <c r="P327" i="29"/>
  <c r="T326" i="29"/>
  <c r="R326" i="29"/>
  <c r="P326" i="29"/>
  <c r="T325" i="29"/>
  <c r="R325" i="29"/>
  <c r="P325" i="29"/>
  <c r="T324" i="29"/>
  <c r="R324" i="29"/>
  <c r="P324" i="29"/>
  <c r="T323" i="29"/>
  <c r="R323" i="29"/>
  <c r="P323" i="29"/>
  <c r="T322" i="29"/>
  <c r="R322" i="29"/>
  <c r="P322" i="29"/>
  <c r="T321" i="29"/>
  <c r="R321" i="29"/>
  <c r="P321" i="29"/>
  <c r="T320" i="29"/>
  <c r="R320" i="29"/>
  <c r="P320" i="29"/>
  <c r="T319" i="29"/>
  <c r="R319" i="29"/>
  <c r="P319" i="29"/>
  <c r="T318" i="29"/>
  <c r="R318" i="29"/>
  <c r="P318" i="29"/>
  <c r="T317" i="29"/>
  <c r="R317" i="29"/>
  <c r="P317" i="29"/>
  <c r="T316" i="29"/>
  <c r="R316" i="29"/>
  <c r="P316" i="29"/>
  <c r="T315" i="29"/>
  <c r="R315" i="29"/>
  <c r="P315" i="29"/>
  <c r="T314" i="29"/>
  <c r="R314" i="29"/>
  <c r="P314" i="29"/>
  <c r="T313" i="29"/>
  <c r="R313" i="29"/>
  <c r="P313" i="29"/>
  <c r="T312" i="29"/>
  <c r="R312" i="29"/>
  <c r="P312" i="29"/>
  <c r="T311" i="29"/>
  <c r="R311" i="29"/>
  <c r="P311" i="29"/>
  <c r="T310" i="29"/>
  <c r="R310" i="29"/>
  <c r="P310" i="29"/>
  <c r="T309" i="29"/>
  <c r="R309" i="29"/>
  <c r="P309" i="29"/>
  <c r="T308" i="29"/>
  <c r="R308" i="29"/>
  <c r="P308" i="29"/>
  <c r="T307" i="29"/>
  <c r="R307" i="29"/>
  <c r="P307" i="29"/>
  <c r="T306" i="29"/>
  <c r="R306" i="29"/>
  <c r="P306" i="29"/>
  <c r="T305" i="29"/>
  <c r="R305" i="29"/>
  <c r="P305" i="29"/>
  <c r="T304" i="29"/>
  <c r="R304" i="29"/>
  <c r="P304" i="29"/>
  <c r="T303" i="29"/>
  <c r="R303" i="29"/>
  <c r="P303" i="29"/>
  <c r="T302" i="29"/>
  <c r="R302" i="29"/>
  <c r="P302" i="29"/>
  <c r="T301" i="29"/>
  <c r="R301" i="29"/>
  <c r="P301" i="29"/>
  <c r="T300" i="29"/>
  <c r="R300" i="29"/>
  <c r="P300" i="29"/>
  <c r="T299" i="29"/>
  <c r="R299" i="29"/>
  <c r="P299" i="29"/>
  <c r="T298" i="29"/>
  <c r="R298" i="29"/>
  <c r="T297" i="29"/>
  <c r="R297" i="29"/>
  <c r="P297" i="29"/>
  <c r="T296" i="29"/>
  <c r="R296" i="29"/>
  <c r="P296" i="29"/>
  <c r="T295" i="29"/>
  <c r="R295" i="29"/>
  <c r="P295" i="29"/>
  <c r="T293" i="29"/>
  <c r="R293" i="29"/>
  <c r="P293" i="29"/>
  <c r="T287" i="29"/>
  <c r="R287" i="29"/>
  <c r="P287" i="29"/>
  <c r="T286" i="29"/>
  <c r="R286" i="29"/>
  <c r="P286" i="29"/>
  <c r="T285" i="29"/>
  <c r="R285" i="29"/>
  <c r="P285" i="29"/>
  <c r="T283" i="29"/>
  <c r="R283" i="29"/>
  <c r="P283" i="29"/>
  <c r="T282" i="29"/>
  <c r="R282" i="29"/>
  <c r="P282" i="29"/>
  <c r="T281" i="29"/>
  <c r="R281" i="29"/>
  <c r="P281" i="29"/>
  <c r="T280" i="29"/>
  <c r="R280" i="29"/>
  <c r="P280" i="29"/>
  <c r="T279" i="29"/>
  <c r="R279" i="29"/>
  <c r="P279" i="29"/>
  <c r="T278" i="29"/>
  <c r="R278" i="29"/>
  <c r="P278" i="29"/>
  <c r="T277" i="29"/>
  <c r="R277" i="29"/>
  <c r="P277" i="29"/>
  <c r="T276" i="29"/>
  <c r="R276" i="29"/>
  <c r="P276" i="29"/>
  <c r="T275" i="29"/>
  <c r="R275" i="29"/>
  <c r="P275" i="29"/>
  <c r="T274" i="29"/>
  <c r="R274" i="29"/>
  <c r="P274" i="29"/>
  <c r="T273" i="29"/>
  <c r="R273" i="29"/>
  <c r="P273" i="29"/>
  <c r="T272" i="29"/>
  <c r="R272" i="29"/>
  <c r="P272" i="29"/>
  <c r="T271" i="29"/>
  <c r="R271" i="29"/>
  <c r="P271" i="29"/>
  <c r="T270" i="29"/>
  <c r="R270" i="29"/>
  <c r="P270" i="29"/>
  <c r="T269" i="29"/>
  <c r="R269" i="29"/>
  <c r="P269" i="29"/>
  <c r="T268" i="29"/>
  <c r="R268" i="29"/>
  <c r="P268" i="29"/>
  <c r="T267" i="29"/>
  <c r="R267" i="29"/>
  <c r="P267" i="29"/>
  <c r="T266" i="29"/>
  <c r="R266" i="29"/>
  <c r="P266" i="29"/>
  <c r="T265" i="29"/>
  <c r="R265" i="29"/>
  <c r="P265" i="29"/>
  <c r="T264" i="29"/>
  <c r="R264" i="29"/>
  <c r="P264" i="29"/>
  <c r="T263" i="29"/>
  <c r="R263" i="29"/>
  <c r="P263" i="29"/>
  <c r="T262" i="29"/>
  <c r="R262" i="29"/>
  <c r="P262" i="29"/>
  <c r="T261" i="29"/>
  <c r="R261" i="29"/>
  <c r="P261" i="29"/>
  <c r="T260" i="29"/>
  <c r="R260" i="29"/>
  <c r="P260" i="29"/>
  <c r="T259" i="29"/>
  <c r="R259" i="29"/>
  <c r="P259" i="29"/>
  <c r="T258" i="29"/>
  <c r="R258" i="29"/>
  <c r="P258" i="29"/>
  <c r="T257" i="29"/>
  <c r="R257" i="29"/>
  <c r="P257" i="29"/>
  <c r="T256" i="29"/>
  <c r="R256" i="29"/>
  <c r="P256" i="29"/>
  <c r="T255" i="29"/>
  <c r="R255" i="29"/>
  <c r="P255" i="29"/>
  <c r="T254" i="29"/>
  <c r="R254" i="29"/>
  <c r="P254" i="29"/>
  <c r="T253" i="29"/>
  <c r="R253" i="29"/>
  <c r="P253" i="29"/>
  <c r="T252" i="29"/>
  <c r="R252" i="29"/>
  <c r="P252" i="29"/>
  <c r="T246" i="29"/>
  <c r="R246" i="29"/>
  <c r="P246" i="29"/>
  <c r="T245" i="29"/>
  <c r="R245" i="29"/>
  <c r="P245" i="29"/>
  <c r="T244" i="29"/>
  <c r="R244" i="29"/>
  <c r="P244" i="29"/>
  <c r="T243" i="29"/>
  <c r="R243" i="29"/>
  <c r="P243" i="29"/>
  <c r="T242" i="29"/>
  <c r="R242" i="29"/>
  <c r="P242" i="29"/>
  <c r="T241" i="29"/>
  <c r="R241" i="29"/>
  <c r="P241" i="29"/>
  <c r="T240" i="29"/>
  <c r="R240" i="29"/>
  <c r="P240" i="29"/>
  <c r="T239" i="29"/>
  <c r="R239" i="29"/>
  <c r="P239" i="29"/>
  <c r="T238" i="29"/>
  <c r="R238" i="29"/>
  <c r="P238" i="29"/>
  <c r="T237" i="29"/>
  <c r="R237" i="29"/>
  <c r="P237" i="29"/>
  <c r="T236" i="29"/>
  <c r="R236" i="29"/>
  <c r="P236" i="29"/>
  <c r="T235" i="29"/>
  <c r="R235" i="29"/>
  <c r="P235" i="29"/>
  <c r="T234" i="29"/>
  <c r="R234" i="29"/>
  <c r="P234" i="29"/>
  <c r="T233" i="29"/>
  <c r="R233" i="29"/>
  <c r="P233" i="29"/>
  <c r="T232" i="29"/>
  <c r="R232" i="29"/>
  <c r="P232" i="29"/>
  <c r="T231" i="29"/>
  <c r="R231" i="29"/>
  <c r="P231" i="29"/>
  <c r="T230" i="29"/>
  <c r="R230" i="29"/>
  <c r="P230" i="29"/>
  <c r="T229" i="29"/>
  <c r="R229" i="29"/>
  <c r="P229" i="29"/>
  <c r="T228" i="29"/>
  <c r="R228" i="29"/>
  <c r="P228" i="29"/>
  <c r="T227" i="29"/>
  <c r="R227" i="29"/>
  <c r="P227" i="29"/>
  <c r="T226" i="29"/>
  <c r="R226" i="29"/>
  <c r="P226" i="29"/>
  <c r="T225" i="29"/>
  <c r="R225" i="29"/>
  <c r="P225" i="29"/>
  <c r="T224" i="29"/>
  <c r="R224" i="29"/>
  <c r="P224" i="29"/>
  <c r="T223" i="29"/>
  <c r="R223" i="29"/>
  <c r="P223" i="29"/>
  <c r="T222" i="29"/>
  <c r="R222" i="29"/>
  <c r="P222" i="29"/>
  <c r="T221" i="29"/>
  <c r="R221" i="29"/>
  <c r="P221" i="29"/>
  <c r="T220" i="29"/>
  <c r="R220" i="29"/>
  <c r="P220" i="29"/>
  <c r="T219" i="29"/>
  <c r="R219" i="29"/>
  <c r="P219" i="29"/>
  <c r="T218" i="29"/>
  <c r="R218" i="29"/>
  <c r="P218" i="29"/>
  <c r="T217" i="29"/>
  <c r="R217" i="29"/>
  <c r="P217" i="29"/>
  <c r="T216" i="29"/>
  <c r="R216" i="29"/>
  <c r="P216" i="29"/>
  <c r="T215" i="29"/>
  <c r="R215" i="29"/>
  <c r="P215" i="29"/>
  <c r="T214" i="29"/>
  <c r="R214" i="29"/>
  <c r="P214" i="29"/>
  <c r="T213" i="29"/>
  <c r="R213" i="29"/>
  <c r="P213" i="29"/>
  <c r="T212" i="29"/>
  <c r="R212" i="29"/>
  <c r="P212" i="29"/>
  <c r="T211" i="29"/>
  <c r="R211" i="29"/>
  <c r="T205" i="29"/>
  <c r="R205" i="29"/>
  <c r="P205" i="29"/>
  <c r="T204" i="29"/>
  <c r="R204" i="29"/>
  <c r="P204" i="29"/>
  <c r="T203" i="29"/>
  <c r="R203" i="29"/>
  <c r="P203" i="29"/>
  <c r="T202" i="29"/>
  <c r="R202" i="29"/>
  <c r="P202" i="29"/>
  <c r="T201" i="29"/>
  <c r="R201" i="29"/>
  <c r="P201" i="29"/>
  <c r="T200" i="29"/>
  <c r="R200" i="29"/>
  <c r="P200" i="29"/>
  <c r="T199" i="29"/>
  <c r="R199" i="29"/>
  <c r="P199" i="29"/>
  <c r="T198" i="29"/>
  <c r="R198" i="29"/>
  <c r="P198" i="29"/>
  <c r="T197" i="29"/>
  <c r="R197" i="29"/>
  <c r="P197" i="29"/>
  <c r="T196" i="29"/>
  <c r="R196" i="29"/>
  <c r="P196" i="29"/>
  <c r="T195" i="29"/>
  <c r="R195" i="29"/>
  <c r="P195" i="29"/>
  <c r="T194" i="29"/>
  <c r="R194" i="29"/>
  <c r="P194" i="29"/>
  <c r="T193" i="29"/>
  <c r="R193" i="29"/>
  <c r="P193" i="29"/>
  <c r="T192" i="29"/>
  <c r="R192" i="29"/>
  <c r="P192" i="29"/>
  <c r="T191" i="29"/>
  <c r="R191" i="29"/>
  <c r="P191" i="29"/>
  <c r="T190" i="29"/>
  <c r="R190" i="29"/>
  <c r="P190" i="29"/>
  <c r="T189" i="29"/>
  <c r="R189" i="29"/>
  <c r="P189" i="29"/>
  <c r="T188" i="29"/>
  <c r="R188" i="29"/>
  <c r="P188" i="29"/>
  <c r="T187" i="29"/>
  <c r="R187" i="29"/>
  <c r="P187" i="29"/>
  <c r="T186" i="29"/>
  <c r="R186" i="29"/>
  <c r="P186" i="29"/>
  <c r="T185" i="29"/>
  <c r="R185" i="29"/>
  <c r="P185" i="29"/>
  <c r="T184" i="29"/>
  <c r="R184" i="29"/>
  <c r="P184" i="29"/>
  <c r="T183" i="29"/>
  <c r="R183" i="29"/>
  <c r="P183" i="29"/>
  <c r="T182" i="29"/>
  <c r="R182" i="29"/>
  <c r="P182" i="29"/>
  <c r="T181" i="29"/>
  <c r="R181" i="29"/>
  <c r="P181" i="29"/>
  <c r="T180" i="29"/>
  <c r="R180" i="29"/>
  <c r="P180" i="29"/>
  <c r="T179" i="29"/>
  <c r="R179" i="29"/>
  <c r="P179" i="29"/>
  <c r="T178" i="29"/>
  <c r="R178" i="29"/>
  <c r="P178" i="29"/>
  <c r="T177" i="29"/>
  <c r="R177" i="29"/>
  <c r="P177" i="29"/>
  <c r="T176" i="29"/>
  <c r="R176" i="29"/>
  <c r="P176" i="29"/>
  <c r="T175" i="29"/>
  <c r="R175" i="29"/>
  <c r="P175" i="29"/>
  <c r="T174" i="29"/>
  <c r="R174" i="29"/>
  <c r="P174" i="29"/>
  <c r="T173" i="29"/>
  <c r="R173" i="29"/>
  <c r="P173" i="29"/>
  <c r="T172" i="29"/>
  <c r="R172" i="29"/>
  <c r="P172" i="29"/>
  <c r="T171" i="29"/>
  <c r="R171" i="29"/>
  <c r="P171" i="29"/>
  <c r="T170" i="29"/>
  <c r="R170" i="29"/>
  <c r="P170" i="29"/>
  <c r="T164" i="29"/>
  <c r="R164" i="29"/>
  <c r="P164" i="29"/>
  <c r="T163" i="29"/>
  <c r="R163" i="29"/>
  <c r="P163" i="29"/>
  <c r="T162" i="29"/>
  <c r="R162" i="29"/>
  <c r="P162" i="29"/>
  <c r="T161" i="29"/>
  <c r="R161" i="29"/>
  <c r="P161" i="29"/>
  <c r="T160" i="29"/>
  <c r="R160" i="29"/>
  <c r="P160" i="29"/>
  <c r="T159" i="29"/>
  <c r="R159" i="29"/>
  <c r="P159" i="29"/>
  <c r="T158" i="29"/>
  <c r="R158" i="29"/>
  <c r="P158" i="29"/>
  <c r="T157" i="29"/>
  <c r="R157" i="29"/>
  <c r="P157" i="29"/>
  <c r="T156" i="29"/>
  <c r="R156" i="29"/>
  <c r="P156" i="29"/>
  <c r="T155" i="29"/>
  <c r="R155" i="29"/>
  <c r="P155" i="29"/>
  <c r="T154" i="29"/>
  <c r="R154" i="29"/>
  <c r="P154" i="29"/>
  <c r="T153" i="29"/>
  <c r="R153" i="29"/>
  <c r="P153" i="29"/>
  <c r="T152" i="29"/>
  <c r="R152" i="29"/>
  <c r="P152" i="29"/>
  <c r="T151" i="29"/>
  <c r="R151" i="29"/>
  <c r="P151" i="29"/>
  <c r="T150" i="29"/>
  <c r="R150" i="29"/>
  <c r="P150" i="29"/>
  <c r="T149" i="29"/>
  <c r="R149" i="29"/>
  <c r="P149" i="29"/>
  <c r="T148" i="29"/>
  <c r="R148" i="29"/>
  <c r="P148" i="29"/>
  <c r="T147" i="29"/>
  <c r="R147" i="29"/>
  <c r="P147" i="29"/>
  <c r="T146" i="29"/>
  <c r="R146" i="29"/>
  <c r="P146" i="29"/>
  <c r="T145" i="29"/>
  <c r="R145" i="29"/>
  <c r="P145" i="29"/>
  <c r="T144" i="29"/>
  <c r="R144" i="29"/>
  <c r="P144" i="29"/>
  <c r="T143" i="29"/>
  <c r="R143" i="29"/>
  <c r="P143" i="29"/>
  <c r="T142" i="29"/>
  <c r="R142" i="29"/>
  <c r="P142" i="29"/>
  <c r="T141" i="29"/>
  <c r="R141" i="29"/>
  <c r="P141" i="29"/>
  <c r="T140" i="29"/>
  <c r="R140" i="29"/>
  <c r="P140" i="29"/>
  <c r="T139" i="29"/>
  <c r="U139" i="29" s="1"/>
  <c r="R139" i="29"/>
  <c r="S139" i="29" s="1"/>
  <c r="P139" i="29"/>
  <c r="Q139" i="29" s="1"/>
  <c r="T138" i="29"/>
  <c r="R138" i="29"/>
  <c r="P138" i="29"/>
  <c r="T137" i="29"/>
  <c r="R137" i="29"/>
  <c r="P137" i="29"/>
  <c r="T136" i="29"/>
  <c r="U134" i="29" s="1"/>
  <c r="R136" i="29"/>
  <c r="S134" i="29" s="1"/>
  <c r="P136" i="29"/>
  <c r="Q134" i="29" s="1"/>
  <c r="T135" i="29"/>
  <c r="R135" i="29"/>
  <c r="P135" i="29"/>
  <c r="T134" i="29"/>
  <c r="R134" i="29"/>
  <c r="P134" i="29"/>
  <c r="T133" i="29"/>
  <c r="R133" i="29"/>
  <c r="P133" i="29"/>
  <c r="T132" i="29"/>
  <c r="R132" i="29"/>
  <c r="P132" i="29"/>
  <c r="T131" i="29"/>
  <c r="R131" i="29"/>
  <c r="P131" i="29"/>
  <c r="T130" i="29"/>
  <c r="R130" i="29"/>
  <c r="P130" i="29"/>
  <c r="T129" i="29"/>
  <c r="R129" i="29"/>
  <c r="P129" i="29"/>
  <c r="T123" i="29"/>
  <c r="R123" i="29"/>
  <c r="P123" i="29"/>
  <c r="T122" i="29"/>
  <c r="R122" i="29"/>
  <c r="P122" i="29"/>
  <c r="T121" i="29"/>
  <c r="R121" i="29"/>
  <c r="P121" i="29"/>
  <c r="T120" i="29"/>
  <c r="R120" i="29"/>
  <c r="P120" i="29"/>
  <c r="T119" i="29"/>
  <c r="U119" i="29" s="1"/>
  <c r="R119" i="29"/>
  <c r="S119" i="29" s="1"/>
  <c r="P119" i="29"/>
  <c r="Q119" i="29" s="1"/>
  <c r="T118" i="29"/>
  <c r="R118" i="29"/>
  <c r="P118" i="29"/>
  <c r="T117" i="29"/>
  <c r="R117" i="29"/>
  <c r="P117" i="29"/>
  <c r="T116" i="29"/>
  <c r="R116" i="29"/>
  <c r="P116" i="29"/>
  <c r="T115" i="29"/>
  <c r="R115" i="29"/>
  <c r="P115" i="29"/>
  <c r="T114" i="29"/>
  <c r="R114" i="29"/>
  <c r="P114" i="29"/>
  <c r="T113" i="29"/>
  <c r="U113" i="29" s="1"/>
  <c r="R113" i="29"/>
  <c r="S113" i="29" s="1"/>
  <c r="P113" i="29"/>
  <c r="Q113" i="29" s="1"/>
  <c r="T112" i="29"/>
  <c r="R112" i="29"/>
  <c r="P112" i="29"/>
  <c r="T111" i="29"/>
  <c r="R111" i="29"/>
  <c r="P111" i="29"/>
  <c r="T110" i="29"/>
  <c r="R110" i="29"/>
  <c r="P110" i="29"/>
  <c r="T109" i="29"/>
  <c r="R109" i="29"/>
  <c r="P109" i="29"/>
  <c r="T108" i="29"/>
  <c r="U108" i="29" s="1"/>
  <c r="R108" i="29"/>
  <c r="S108" i="29" s="1"/>
  <c r="P108" i="29"/>
  <c r="Q108" i="29" s="1"/>
  <c r="T107" i="29"/>
  <c r="R107" i="29"/>
  <c r="P107" i="29"/>
  <c r="T106" i="29"/>
  <c r="R106" i="29"/>
  <c r="P106" i="29"/>
  <c r="T105" i="29"/>
  <c r="U103" i="29" s="1"/>
  <c r="R105" i="29"/>
  <c r="S103" i="29" s="1"/>
  <c r="P105" i="29"/>
  <c r="Q103" i="29" s="1"/>
  <c r="T104" i="29"/>
  <c r="R104" i="29"/>
  <c r="P104" i="29"/>
  <c r="T103" i="29"/>
  <c r="P103" i="29"/>
  <c r="T102" i="29"/>
  <c r="R102" i="29"/>
  <c r="P102" i="29"/>
  <c r="T101" i="29"/>
  <c r="R101" i="29"/>
  <c r="P101" i="29"/>
  <c r="T100" i="29"/>
  <c r="R100" i="29"/>
  <c r="P100" i="29"/>
  <c r="T99" i="29"/>
  <c r="U98" i="29" s="1"/>
  <c r="R99" i="29"/>
  <c r="S98" i="29" s="1"/>
  <c r="P99" i="29"/>
  <c r="Q98" i="29" s="1"/>
  <c r="T98" i="29"/>
  <c r="R98" i="29"/>
  <c r="P98" i="29"/>
  <c r="T97" i="29"/>
  <c r="R97" i="29"/>
  <c r="P97" i="29"/>
  <c r="T96" i="29"/>
  <c r="R96" i="29"/>
  <c r="P96" i="29"/>
  <c r="T95" i="29"/>
  <c r="R95" i="29"/>
  <c r="P95" i="29"/>
  <c r="T94" i="29"/>
  <c r="U93" i="29" s="1"/>
  <c r="R94" i="29"/>
  <c r="S93" i="29" s="1"/>
  <c r="P94" i="29"/>
  <c r="Q93" i="29" s="1"/>
  <c r="T93" i="29"/>
  <c r="R93" i="29"/>
  <c r="P93" i="29"/>
  <c r="T92" i="29"/>
  <c r="R92" i="29"/>
  <c r="P92" i="29"/>
  <c r="T91" i="29"/>
  <c r="R91" i="29"/>
  <c r="P91" i="29"/>
  <c r="T90" i="29"/>
  <c r="R90" i="29"/>
  <c r="P90" i="29"/>
  <c r="T89" i="29"/>
  <c r="R89" i="29"/>
  <c r="P89" i="29"/>
  <c r="T88" i="29"/>
  <c r="R88" i="29"/>
  <c r="P88" i="29"/>
  <c r="BB57" i="6"/>
  <c r="AU58" i="5"/>
  <c r="D58" i="5" s="1"/>
  <c r="BB56" i="6"/>
  <c r="AU57" i="5"/>
  <c r="D57" i="5" s="1"/>
  <c r="BB55" i="6"/>
  <c r="AU56" i="5"/>
  <c r="D56" i="5" s="1"/>
  <c r="BB51" i="6"/>
  <c r="AU52" i="5"/>
  <c r="D52" i="5" s="1"/>
  <c r="BB50" i="6"/>
  <c r="AU51" i="5"/>
  <c r="D51" i="5" s="1"/>
  <c r="BB49" i="6"/>
  <c r="AU50" i="5"/>
  <c r="D50" i="5" s="1"/>
  <c r="BB45" i="6"/>
  <c r="AU46" i="5"/>
  <c r="D46" i="5" s="1"/>
  <c r="BB44" i="6"/>
  <c r="AU45" i="5"/>
  <c r="D45" i="5" s="1"/>
  <c r="BB43" i="6"/>
  <c r="AU44" i="5"/>
  <c r="D44" i="5" s="1"/>
  <c r="BB39" i="6"/>
  <c r="AU40" i="5"/>
  <c r="D40" i="5" s="1"/>
  <c r="BB38" i="6"/>
  <c r="AU39" i="5"/>
  <c r="D39" i="5" s="1"/>
  <c r="BB37" i="6"/>
  <c r="AU38" i="5"/>
  <c r="D38" i="5" s="1"/>
  <c r="BB33" i="6"/>
  <c r="AU34" i="5"/>
  <c r="D34" i="5" s="1"/>
  <c r="BB32" i="6"/>
  <c r="AU33" i="5"/>
  <c r="D33" i="5" s="1"/>
  <c r="BB31" i="6"/>
  <c r="AU32" i="5"/>
  <c r="D32" i="5" s="1"/>
  <c r="BB27" i="6"/>
  <c r="AU28" i="5"/>
  <c r="D28" i="5" s="1"/>
  <c r="BB26" i="6"/>
  <c r="AU27" i="5"/>
  <c r="D27" i="5" s="1"/>
  <c r="BB25" i="6"/>
  <c r="AU26" i="5"/>
  <c r="D26" i="5" s="1"/>
  <c r="BB21" i="6"/>
  <c r="AU22" i="5"/>
  <c r="D22" i="5" s="1"/>
  <c r="BB20" i="6"/>
  <c r="AU21" i="5"/>
  <c r="D21" i="5" s="1"/>
  <c r="BB19" i="6"/>
  <c r="AU20" i="5"/>
  <c r="D20" i="5" s="1"/>
  <c r="AU19" i="5"/>
  <c r="D19" i="5" s="1"/>
  <c r="AU16" i="5"/>
  <c r="D16" i="5" s="1"/>
  <c r="BB14" i="6"/>
  <c r="AU15" i="5"/>
  <c r="D15" i="5" s="1"/>
  <c r="BB13" i="6"/>
  <c r="AU14" i="5"/>
  <c r="D14" i="5" s="1"/>
  <c r="AU13" i="5"/>
  <c r="D13" i="5" s="1"/>
  <c r="BB8" i="6"/>
  <c r="BB7" i="6"/>
  <c r="AU8" i="5"/>
  <c r="D8" i="5" s="1"/>
  <c r="T82" i="29"/>
  <c r="R82" i="29"/>
  <c r="P82" i="29"/>
  <c r="T81" i="29"/>
  <c r="R81" i="29"/>
  <c r="P81" i="29"/>
  <c r="T80" i="29"/>
  <c r="R80" i="29"/>
  <c r="P80" i="29"/>
  <c r="T79" i="29"/>
  <c r="R79" i="29"/>
  <c r="P79" i="29"/>
  <c r="T78" i="29"/>
  <c r="U78" i="29" s="1"/>
  <c r="R78" i="29"/>
  <c r="S78" i="29" s="1"/>
  <c r="P78" i="29"/>
  <c r="Q78" i="29" s="1"/>
  <c r="T77" i="29"/>
  <c r="R77" i="29"/>
  <c r="P77" i="29"/>
  <c r="T76" i="29"/>
  <c r="R76" i="29"/>
  <c r="P76" i="29"/>
  <c r="T75" i="29"/>
  <c r="R75" i="29"/>
  <c r="P75" i="29"/>
  <c r="T74" i="29"/>
  <c r="R74" i="29"/>
  <c r="P74" i="29"/>
  <c r="T73" i="29"/>
  <c r="U72" i="29" s="1"/>
  <c r="R73" i="29"/>
  <c r="S72" i="29" s="1"/>
  <c r="P73" i="29"/>
  <c r="Q72" i="29" s="1"/>
  <c r="T72" i="29"/>
  <c r="R72" i="29"/>
  <c r="P72" i="29"/>
  <c r="T71" i="29"/>
  <c r="R71" i="29"/>
  <c r="P71" i="29"/>
  <c r="T70" i="29"/>
  <c r="R70" i="29"/>
  <c r="P70" i="29"/>
  <c r="T69" i="29"/>
  <c r="R69" i="29"/>
  <c r="P69" i="29"/>
  <c r="T68" i="29"/>
  <c r="R68" i="29"/>
  <c r="P68" i="29"/>
  <c r="T67" i="29"/>
  <c r="U67" i="29" s="1"/>
  <c r="R67" i="29"/>
  <c r="S67" i="29" s="1"/>
  <c r="P67" i="29"/>
  <c r="Q67" i="29" s="1"/>
  <c r="T66" i="29"/>
  <c r="R66" i="29"/>
  <c r="P66" i="29"/>
  <c r="T65" i="29"/>
  <c r="R65" i="29"/>
  <c r="P65" i="29"/>
  <c r="T64" i="29"/>
  <c r="R64" i="29"/>
  <c r="P64" i="29"/>
  <c r="T63" i="29"/>
  <c r="R63" i="29"/>
  <c r="P63" i="29"/>
  <c r="T62" i="29"/>
  <c r="U62" i="29" s="1"/>
  <c r="R62" i="29"/>
  <c r="S62" i="29" s="1"/>
  <c r="P62" i="29"/>
  <c r="Q62" i="29" s="1"/>
  <c r="T61" i="29"/>
  <c r="R61" i="29"/>
  <c r="P61" i="29"/>
  <c r="T60" i="29"/>
  <c r="R60" i="29"/>
  <c r="P60" i="29"/>
  <c r="T59" i="29"/>
  <c r="U57" i="29" s="1"/>
  <c r="R59" i="29"/>
  <c r="S57" i="29" s="1"/>
  <c r="P59" i="29"/>
  <c r="Q57" i="29" s="1"/>
  <c r="T58" i="29"/>
  <c r="R58" i="29"/>
  <c r="P58" i="29"/>
  <c r="T57" i="29"/>
  <c r="R57" i="29"/>
  <c r="P57" i="29"/>
  <c r="T56" i="29"/>
  <c r="R56" i="29"/>
  <c r="P56" i="29"/>
  <c r="T55" i="29"/>
  <c r="R55" i="29"/>
  <c r="P55" i="29"/>
  <c r="T54" i="29"/>
  <c r="R54" i="29"/>
  <c r="P54" i="29"/>
  <c r="T53" i="29"/>
  <c r="R53" i="29"/>
  <c r="P53" i="29"/>
  <c r="T52" i="29"/>
  <c r="U52" i="29" s="1"/>
  <c r="R52" i="29"/>
  <c r="S52" i="29" s="1"/>
  <c r="P52" i="29"/>
  <c r="Q52" i="29" s="1"/>
  <c r="T51" i="29"/>
  <c r="R51" i="29"/>
  <c r="P51" i="29"/>
  <c r="T50" i="29"/>
  <c r="R50" i="29"/>
  <c r="P50" i="29"/>
  <c r="T49" i="29"/>
  <c r="R49" i="29"/>
  <c r="P49" i="29"/>
  <c r="T48" i="29"/>
  <c r="R48" i="29"/>
  <c r="P48" i="29"/>
  <c r="T47" i="29"/>
  <c r="R47" i="29"/>
  <c r="P47" i="29"/>
  <c r="T41" i="29"/>
  <c r="R41" i="29"/>
  <c r="P41" i="29"/>
  <c r="T40" i="29"/>
  <c r="R40" i="29"/>
  <c r="P40" i="29"/>
  <c r="T39" i="29"/>
  <c r="R39" i="29"/>
  <c r="P39" i="29"/>
  <c r="T38" i="29"/>
  <c r="R38" i="29"/>
  <c r="P38" i="29"/>
  <c r="T37" i="29"/>
  <c r="R37" i="29"/>
  <c r="P37" i="29"/>
  <c r="T36" i="29"/>
  <c r="R36" i="29"/>
  <c r="P36" i="29"/>
  <c r="T35" i="29"/>
  <c r="R35" i="29"/>
  <c r="P35" i="29"/>
  <c r="T34" i="29"/>
  <c r="R34" i="29"/>
  <c r="P34" i="29"/>
  <c r="T33" i="29"/>
  <c r="R33" i="29"/>
  <c r="P33" i="29"/>
  <c r="T32" i="29"/>
  <c r="R32" i="29"/>
  <c r="P32" i="29"/>
  <c r="T31" i="29"/>
  <c r="R31" i="29"/>
  <c r="P31" i="29"/>
  <c r="T30" i="29"/>
  <c r="R30" i="29"/>
  <c r="P30" i="29"/>
  <c r="T29" i="29"/>
  <c r="R29" i="29"/>
  <c r="P29" i="29"/>
  <c r="T28" i="29"/>
  <c r="R28" i="29"/>
  <c r="P28" i="29"/>
  <c r="T27" i="29"/>
  <c r="R27" i="29"/>
  <c r="P27" i="29"/>
  <c r="T26" i="29"/>
  <c r="R26" i="29"/>
  <c r="T25" i="29"/>
  <c r="R25" i="29"/>
  <c r="P25" i="29"/>
  <c r="T24" i="29"/>
  <c r="R24" i="29"/>
  <c r="P24" i="29"/>
  <c r="T23" i="29"/>
  <c r="R23" i="29"/>
  <c r="P23" i="29"/>
  <c r="T22" i="29"/>
  <c r="R22" i="29"/>
  <c r="P22" i="29"/>
  <c r="T21" i="29"/>
  <c r="U21" i="29" s="1"/>
  <c r="P21" i="29"/>
  <c r="Q21" i="29" s="1"/>
  <c r="T20" i="29"/>
  <c r="R20" i="29"/>
  <c r="P20" i="29"/>
  <c r="T19" i="29"/>
  <c r="R19" i="29"/>
  <c r="P19" i="29"/>
  <c r="T18" i="29"/>
  <c r="R18" i="29"/>
  <c r="P18" i="29"/>
  <c r="T17" i="29"/>
  <c r="R17" i="29"/>
  <c r="P17" i="29"/>
  <c r="T16" i="29"/>
  <c r="U16" i="29" s="1"/>
  <c r="R16" i="29"/>
  <c r="S16" i="29" s="1"/>
  <c r="P16" i="29"/>
  <c r="Q16" i="29" s="1"/>
  <c r="T15" i="29"/>
  <c r="R15" i="29"/>
  <c r="P15" i="29"/>
  <c r="T14" i="29"/>
  <c r="R14" i="29"/>
  <c r="P14" i="29"/>
  <c r="T13" i="29"/>
  <c r="R13" i="29"/>
  <c r="P13" i="29"/>
  <c r="T12" i="29"/>
  <c r="R12" i="29"/>
  <c r="P12" i="29"/>
  <c r="T11" i="29"/>
  <c r="U11" i="29" s="1"/>
  <c r="R11" i="29"/>
  <c r="S11" i="29" s="1"/>
  <c r="P11" i="29"/>
  <c r="Q11" i="29" s="1"/>
  <c r="T6" i="29"/>
  <c r="R6" i="29"/>
  <c r="P6" i="29"/>
  <c r="U31" i="29" l="1"/>
  <c r="U26" i="29"/>
  <c r="Q31" i="29"/>
  <c r="X11" i="15" s="1"/>
  <c r="Q26" i="29"/>
  <c r="X10" i="15" s="1"/>
  <c r="S31" i="29"/>
  <c r="S26" i="29"/>
  <c r="AL58" i="15"/>
  <c r="AL57" i="15"/>
  <c r="X39" i="15"/>
  <c r="AL55" i="15"/>
  <c r="AL46" i="15"/>
  <c r="AC54" i="11"/>
  <c r="AC57" i="11"/>
  <c r="AC45" i="11"/>
  <c r="X58" i="15"/>
  <c r="X57" i="15"/>
  <c r="AC46" i="11"/>
  <c r="BB24" i="6"/>
  <c r="AZ12" i="3"/>
  <c r="AZ26" i="3"/>
  <c r="AZ32" i="3"/>
  <c r="AZ34" i="3"/>
  <c r="AZ39" i="3"/>
  <c r="AZ50" i="3"/>
  <c r="AZ53" i="3"/>
  <c r="AZ57" i="3"/>
  <c r="AU25" i="5"/>
  <c r="D25" i="5" s="1"/>
  <c r="AZ35" i="3"/>
  <c r="AZ43" i="3"/>
  <c r="AZ38" i="3"/>
  <c r="AZ47" i="3"/>
  <c r="AZ27" i="3"/>
  <c r="AZ33" i="3"/>
  <c r="AZ41" i="3"/>
  <c r="AZ49" i="3"/>
  <c r="AZ51" i="3"/>
  <c r="AZ59" i="3"/>
  <c r="AZ29" i="3"/>
  <c r="AZ56" i="3"/>
  <c r="AZ45" i="3"/>
  <c r="AZ40" i="3"/>
  <c r="AZ55" i="3"/>
  <c r="AZ46" i="3"/>
  <c r="AR2" i="5"/>
  <c r="AW2" i="3"/>
  <c r="AZ28" i="3"/>
  <c r="AZ25" i="3"/>
  <c r="AZ24" i="3"/>
  <c r="AZ9" i="3"/>
  <c r="BB12" i="6"/>
  <c r="AZ17" i="3"/>
  <c r="AZ18" i="3"/>
  <c r="AZ19" i="3"/>
  <c r="BB18" i="6"/>
  <c r="AZ23" i="3"/>
  <c r="AZ21" i="3"/>
  <c r="AZ16" i="3"/>
  <c r="AZ15" i="3"/>
  <c r="AZ14" i="3"/>
  <c r="AZ11" i="3"/>
  <c r="AZ58" i="3"/>
  <c r="AZ52" i="3"/>
  <c r="AZ44" i="3"/>
  <c r="AZ22" i="3"/>
  <c r="BB15" i="6"/>
  <c r="AL60" i="15"/>
  <c r="X55" i="15"/>
  <c r="X56" i="15"/>
  <c r="AC53" i="11"/>
  <c r="AL10" i="15"/>
  <c r="X9" i="15"/>
  <c r="AL9" i="15"/>
  <c r="X8" i="15"/>
  <c r="AL8" i="15"/>
  <c r="AL13" i="15"/>
  <c r="AZ10" i="3"/>
  <c r="AC44" i="11" l="1"/>
  <c r="AL40" i="15"/>
  <c r="X24" i="15"/>
  <c r="AL44" i="15"/>
  <c r="X44" i="15"/>
  <c r="AC7" i="11"/>
  <c r="AL30" i="15"/>
  <c r="X17" i="15"/>
  <c r="AC9" i="11"/>
  <c r="X15" i="15"/>
  <c r="AC15" i="11"/>
  <c r="AL17" i="15"/>
  <c r="D12" i="3"/>
  <c r="AC11" i="11"/>
  <c r="AC10" i="11"/>
  <c r="AC12" i="11"/>
  <c r="AC35" i="11"/>
  <c r="X23" i="15"/>
  <c r="X26" i="15"/>
  <c r="AC27" i="11"/>
  <c r="AC28" i="11"/>
  <c r="AC33" i="11"/>
  <c r="X37" i="15"/>
  <c r="AC37" i="11"/>
  <c r="AL41" i="15"/>
  <c r="X48" i="15"/>
  <c r="AC50" i="11"/>
  <c r="AL52" i="15"/>
  <c r="AL53" i="15"/>
  <c r="AC59" i="11"/>
  <c r="AC48" i="11"/>
  <c r="AC29" i="11"/>
  <c r="AL42" i="15"/>
  <c r="AL47" i="15"/>
  <c r="AL45" i="15"/>
  <c r="AC42" i="11"/>
  <c r="AC55" i="11"/>
  <c r="AL25" i="15"/>
  <c r="AL26" i="15"/>
  <c r="AC32" i="11"/>
  <c r="X35" i="15"/>
  <c r="X40" i="15"/>
  <c r="AC40" i="11"/>
  <c r="AC47" i="11"/>
  <c r="AC52" i="11"/>
  <c r="X43" i="15"/>
  <c r="AC43" i="11"/>
  <c r="AL43" i="15"/>
  <c r="AL23" i="15"/>
  <c r="X28" i="15"/>
  <c r="X33" i="15"/>
  <c r="X34" i="15"/>
  <c r="AL37" i="15"/>
  <c r="AL38" i="15"/>
  <c r="X51" i="15"/>
  <c r="AC51" i="11"/>
  <c r="AC39" i="11"/>
  <c r="AL15" i="15"/>
  <c r="AL24" i="15"/>
  <c r="AL59" i="15"/>
  <c r="AC22" i="11"/>
  <c r="AC25" i="11"/>
  <c r="AL32" i="15"/>
  <c r="AL33" i="15"/>
  <c r="AC34" i="11"/>
  <c r="AC36" i="11"/>
  <c r="AC38" i="11"/>
  <c r="X41" i="15"/>
  <c r="X27" i="15"/>
  <c r="X20" i="15"/>
  <c r="X49" i="15"/>
  <c r="AL49" i="15"/>
  <c r="X60" i="15"/>
  <c r="X59" i="15"/>
  <c r="AL56" i="15"/>
  <c r="X54" i="15"/>
  <c r="X53" i="15"/>
  <c r="X47" i="15"/>
  <c r="X46" i="15"/>
  <c r="X45" i="15"/>
  <c r="AL39" i="15"/>
  <c r="X38" i="15"/>
  <c r="AL36" i="15"/>
  <c r="AL35" i="15"/>
  <c r="AL34" i="15"/>
  <c r="AC31" i="11"/>
  <c r="X29" i="15"/>
  <c r="AL29" i="15"/>
  <c r="AL28" i="15"/>
  <c r="AL27" i="15"/>
  <c r="AC8" i="11"/>
  <c r="X7" i="15"/>
  <c r="AZ13" i="3"/>
  <c r="AZ8" i="3"/>
  <c r="AC58" i="11"/>
  <c r="AC56" i="11"/>
  <c r="AL54" i="15"/>
  <c r="X52" i="15"/>
  <c r="AL51" i="15"/>
  <c r="AC49" i="11"/>
  <c r="AL50" i="15"/>
  <c r="X50" i="15"/>
  <c r="X31" i="15"/>
  <c r="AC30" i="11"/>
  <c r="AL31" i="15"/>
  <c r="X32" i="15"/>
  <c r="AC26" i="11"/>
  <c r="AC24" i="11"/>
  <c r="X25" i="15"/>
  <c r="AL19" i="15"/>
  <c r="AC19" i="11"/>
  <c r="X22" i="15"/>
  <c r="AC21" i="11"/>
  <c r="AC18" i="11"/>
  <c r="X13" i="15"/>
  <c r="D13" i="15" s="1"/>
  <c r="X19" i="15"/>
  <c r="X21" i="15"/>
  <c r="AL22" i="15"/>
  <c r="AL20" i="15"/>
  <c r="AL21" i="15"/>
  <c r="AC20" i="11"/>
  <c r="X42" i="15"/>
  <c r="AL48" i="15"/>
  <c r="AC41" i="11"/>
  <c r="X36" i="15"/>
  <c r="X30" i="15"/>
  <c r="AC23" i="11"/>
  <c r="X12" i="15"/>
  <c r="AL14" i="15"/>
  <c r="AL18" i="15"/>
  <c r="AL11" i="15"/>
  <c r="AC17" i="11"/>
  <c r="AL7" i="15"/>
  <c r="AL16" i="15"/>
  <c r="AC14" i="11"/>
  <c r="X14" i="15"/>
  <c r="AL12" i="15"/>
  <c r="X18" i="15"/>
  <c r="AC16" i="11"/>
  <c r="X16" i="15"/>
  <c r="AC13" i="11"/>
  <c r="AC6" i="11" l="1"/>
  <c r="AC68" i="11"/>
  <c r="D8" i="3"/>
  <c r="D13" i="3"/>
  <c r="BD31" i="28"/>
  <c r="BC31" i="28"/>
  <c r="BB31" i="28"/>
  <c r="BA31" i="28"/>
  <c r="AZ31" i="28"/>
  <c r="AY31" i="28"/>
  <c r="AX31" i="28"/>
  <c r="AW31" i="28"/>
  <c r="AV31" i="28"/>
  <c r="AU31" i="28"/>
  <c r="AH31" i="28"/>
  <c r="AG31" i="28"/>
  <c r="AF31" i="28"/>
  <c r="AE31" i="28"/>
  <c r="AD31" i="28"/>
  <c r="AC31" i="28"/>
  <c r="AB31" i="28"/>
  <c r="AA31" i="28"/>
  <c r="Z31" i="28"/>
  <c r="Y31" i="28"/>
  <c r="L31" i="28"/>
  <c r="K31" i="28"/>
  <c r="J31" i="28"/>
  <c r="I31" i="28"/>
  <c r="H31" i="28"/>
  <c r="G31" i="28"/>
  <c r="F31" i="28"/>
  <c r="E31" i="28"/>
  <c r="D31" i="28"/>
  <c r="C31" i="28"/>
  <c r="BH27" i="28"/>
  <c r="BG27" i="28"/>
  <c r="BF27" i="28"/>
  <c r="BE27" i="28"/>
  <c r="AL27" i="28"/>
  <c r="AK27" i="28"/>
  <c r="AJ27" i="28"/>
  <c r="AI27" i="28"/>
  <c r="P27" i="28"/>
  <c r="O27" i="28"/>
  <c r="N27" i="28"/>
  <c r="M27" i="28"/>
  <c r="BD26" i="28"/>
  <c r="BC26" i="28"/>
  <c r="BB26" i="28"/>
  <c r="BA26" i="28"/>
  <c r="AZ26" i="28"/>
  <c r="AY26" i="28"/>
  <c r="AX26" i="28"/>
  <c r="AW26" i="28"/>
  <c r="AV26" i="28"/>
  <c r="AU26" i="28"/>
  <c r="AH26" i="28"/>
  <c r="AG26" i="28"/>
  <c r="AF26" i="28"/>
  <c r="AE26" i="28"/>
  <c r="AD26" i="28"/>
  <c r="AC26" i="28"/>
  <c r="AB26" i="28"/>
  <c r="AA26" i="28"/>
  <c r="Z26" i="28"/>
  <c r="Y26" i="28"/>
  <c r="L26" i="28"/>
  <c r="K26" i="28"/>
  <c r="J26" i="28"/>
  <c r="I26" i="28"/>
  <c r="H26" i="28"/>
  <c r="G26" i="28"/>
  <c r="F26" i="28"/>
  <c r="E26" i="28"/>
  <c r="D26" i="28"/>
  <c r="C26" i="28"/>
  <c r="BH22" i="28"/>
  <c r="BG22" i="28"/>
  <c r="BF22" i="28"/>
  <c r="BE22" i="28"/>
  <c r="AL22" i="28"/>
  <c r="AK22" i="28"/>
  <c r="AJ22" i="28"/>
  <c r="AM22" i="28" s="1"/>
  <c r="AI22" i="28"/>
  <c r="P22" i="28"/>
  <c r="O22" i="28"/>
  <c r="N22" i="28"/>
  <c r="M22" i="28"/>
  <c r="BD21" i="28"/>
  <c r="BC21" i="28"/>
  <c r="BB21" i="28"/>
  <c r="BA21" i="28"/>
  <c r="AZ21" i="28"/>
  <c r="AY21" i="28"/>
  <c r="AX21" i="28"/>
  <c r="AW21" i="28"/>
  <c r="AV21" i="28"/>
  <c r="AU21" i="28"/>
  <c r="AH21" i="28"/>
  <c r="AG21" i="28"/>
  <c r="AF21" i="28"/>
  <c r="AE21" i="28"/>
  <c r="AD21" i="28"/>
  <c r="AC21" i="28"/>
  <c r="AB21" i="28"/>
  <c r="AA21" i="28"/>
  <c r="Z21" i="28"/>
  <c r="Y21" i="28"/>
  <c r="L21" i="28"/>
  <c r="K21" i="28"/>
  <c r="J21" i="28"/>
  <c r="I21" i="28"/>
  <c r="H21" i="28"/>
  <c r="G21" i="28"/>
  <c r="F21" i="28"/>
  <c r="E21" i="28"/>
  <c r="D21" i="28"/>
  <c r="C21" i="28"/>
  <c r="BH17" i="28"/>
  <c r="BG17" i="28"/>
  <c r="BF17" i="28"/>
  <c r="BE17" i="28"/>
  <c r="AL17" i="28"/>
  <c r="AK17" i="28"/>
  <c r="AJ17" i="28"/>
  <c r="AI17" i="28"/>
  <c r="P17" i="28"/>
  <c r="O17" i="28"/>
  <c r="N17" i="28"/>
  <c r="M17" i="28"/>
  <c r="BD16" i="28"/>
  <c r="BC16" i="28"/>
  <c r="BB16" i="28"/>
  <c r="BA16" i="28"/>
  <c r="AZ16" i="28"/>
  <c r="AY16" i="28"/>
  <c r="AX16" i="28"/>
  <c r="AW16" i="28"/>
  <c r="AV16" i="28"/>
  <c r="AU16" i="28"/>
  <c r="AH16" i="28"/>
  <c r="AG16" i="28"/>
  <c r="AF16" i="28"/>
  <c r="AE16" i="28"/>
  <c r="AD16" i="28"/>
  <c r="AC16" i="28"/>
  <c r="AB16" i="28"/>
  <c r="AA16" i="28"/>
  <c r="Z16" i="28"/>
  <c r="Y16" i="28"/>
  <c r="L16" i="28"/>
  <c r="K16" i="28"/>
  <c r="J16" i="28"/>
  <c r="I16" i="28"/>
  <c r="H16" i="28"/>
  <c r="G16" i="28"/>
  <c r="F16" i="28"/>
  <c r="E16" i="28"/>
  <c r="D16" i="28"/>
  <c r="C16" i="28"/>
  <c r="BH12" i="28"/>
  <c r="BG12" i="28"/>
  <c r="BF12" i="28"/>
  <c r="BE12" i="28"/>
  <c r="AL12" i="28"/>
  <c r="AK12" i="28"/>
  <c r="AJ12" i="28"/>
  <c r="AI12" i="28"/>
  <c r="P12" i="28"/>
  <c r="O12" i="28"/>
  <c r="N12" i="28"/>
  <c r="M12" i="28"/>
  <c r="AH11" i="28"/>
  <c r="AG11" i="28"/>
  <c r="AF11" i="28"/>
  <c r="AE11" i="28"/>
  <c r="AD11" i="28"/>
  <c r="AC11" i="28"/>
  <c r="AB11" i="28"/>
  <c r="AA11" i="28"/>
  <c r="Z11" i="28"/>
  <c r="Y11" i="28"/>
  <c r="L11" i="28"/>
  <c r="K11" i="28"/>
  <c r="J11" i="28"/>
  <c r="I11" i="28"/>
  <c r="H11" i="28"/>
  <c r="G11" i="28"/>
  <c r="F11" i="28"/>
  <c r="E11" i="28"/>
  <c r="D11" i="28"/>
  <c r="C11" i="28"/>
  <c r="BH7" i="28"/>
  <c r="BI7" i="28" s="1"/>
  <c r="BG7" i="28"/>
  <c r="BF7" i="28"/>
  <c r="BE7" i="28"/>
  <c r="AL7" i="28"/>
  <c r="AK7" i="28"/>
  <c r="AJ7" i="28"/>
  <c r="P7" i="28"/>
  <c r="O7" i="28"/>
  <c r="N7" i="28"/>
  <c r="M7" i="28"/>
  <c r="BD60" i="28"/>
  <c r="BC60" i="28"/>
  <c r="BB60" i="28"/>
  <c r="BA60" i="28"/>
  <c r="AZ60" i="28"/>
  <c r="AY60" i="28"/>
  <c r="AX60" i="28"/>
  <c r="AW60" i="28"/>
  <c r="AV60" i="28"/>
  <c r="AU60" i="28"/>
  <c r="AH60" i="28"/>
  <c r="AG60" i="28"/>
  <c r="AF60" i="28"/>
  <c r="AE60" i="28"/>
  <c r="AD60" i="28"/>
  <c r="AC60" i="28"/>
  <c r="AB60" i="28"/>
  <c r="AA60" i="28"/>
  <c r="Z60" i="28"/>
  <c r="Y60" i="28"/>
  <c r="L60" i="28"/>
  <c r="K60" i="28"/>
  <c r="J60" i="28"/>
  <c r="I60" i="28"/>
  <c r="H60" i="28"/>
  <c r="G60" i="28"/>
  <c r="F60" i="28"/>
  <c r="E60" i="28"/>
  <c r="D60" i="28"/>
  <c r="C60" i="28"/>
  <c r="BH56" i="28"/>
  <c r="BG56" i="28"/>
  <c r="BF56" i="28"/>
  <c r="BE56" i="28"/>
  <c r="AL56" i="28"/>
  <c r="AK56" i="28"/>
  <c r="AJ56" i="28"/>
  <c r="AI56" i="28"/>
  <c r="P56" i="28"/>
  <c r="O56" i="28"/>
  <c r="N56" i="28"/>
  <c r="Q56" i="28" s="1"/>
  <c r="M56" i="28"/>
  <c r="BD55" i="28"/>
  <c r="BC55" i="28"/>
  <c r="BB55" i="28"/>
  <c r="BA55" i="28"/>
  <c r="AZ55" i="28"/>
  <c r="AY55" i="28"/>
  <c r="AX55" i="28"/>
  <c r="AW55" i="28"/>
  <c r="AV55" i="28"/>
  <c r="AU55" i="28"/>
  <c r="AH55" i="28"/>
  <c r="AG55" i="28"/>
  <c r="AF55" i="28"/>
  <c r="AE55" i="28"/>
  <c r="AD55" i="28"/>
  <c r="AC55" i="28"/>
  <c r="AB55" i="28"/>
  <c r="AA55" i="28"/>
  <c r="Z55" i="28"/>
  <c r="Y55" i="28"/>
  <c r="L55" i="28"/>
  <c r="K55" i="28"/>
  <c r="J55" i="28"/>
  <c r="I55" i="28"/>
  <c r="H55" i="28"/>
  <c r="G55" i="28"/>
  <c r="F55" i="28"/>
  <c r="E55" i="28"/>
  <c r="D55" i="28"/>
  <c r="C55" i="28"/>
  <c r="BH51" i="28"/>
  <c r="BG51" i="28"/>
  <c r="BF51" i="28"/>
  <c r="BE51" i="28"/>
  <c r="AM51" i="28"/>
  <c r="AL51" i="28"/>
  <c r="AK51" i="28"/>
  <c r="AJ51" i="28"/>
  <c r="AI51" i="28"/>
  <c r="P51" i="28"/>
  <c r="O51" i="28"/>
  <c r="N51" i="28"/>
  <c r="M51" i="28"/>
  <c r="BD50" i="28"/>
  <c r="BC50" i="28"/>
  <c r="BB50" i="28"/>
  <c r="BA50" i="28"/>
  <c r="AZ50" i="28"/>
  <c r="AY50" i="28"/>
  <c r="AX50" i="28"/>
  <c r="AW50" i="28"/>
  <c r="AV50" i="28"/>
  <c r="AU50" i="28"/>
  <c r="AH50" i="28"/>
  <c r="AG50" i="28"/>
  <c r="AF50" i="28"/>
  <c r="AE50" i="28"/>
  <c r="AD50" i="28"/>
  <c r="AC50" i="28"/>
  <c r="AB50" i="28"/>
  <c r="AA50" i="28"/>
  <c r="Z50" i="28"/>
  <c r="Y50" i="28"/>
  <c r="L50" i="28"/>
  <c r="K50" i="28"/>
  <c r="J50" i="28"/>
  <c r="I50" i="28"/>
  <c r="H50" i="28"/>
  <c r="G50" i="28"/>
  <c r="F50" i="28"/>
  <c r="E50" i="28"/>
  <c r="D50" i="28"/>
  <c r="C50" i="28"/>
  <c r="BH46" i="28"/>
  <c r="BG46" i="28"/>
  <c r="BF46" i="28"/>
  <c r="BE46" i="28"/>
  <c r="AL46" i="28"/>
  <c r="AK46" i="28"/>
  <c r="AJ46" i="28"/>
  <c r="AI46" i="28"/>
  <c r="P46" i="28"/>
  <c r="O46" i="28"/>
  <c r="N46" i="28"/>
  <c r="M46" i="28"/>
  <c r="BD45" i="28"/>
  <c r="BC45" i="28"/>
  <c r="BB45" i="28"/>
  <c r="BA45" i="28"/>
  <c r="AZ45" i="28"/>
  <c r="AY45" i="28"/>
  <c r="AX45" i="28"/>
  <c r="AW45" i="28"/>
  <c r="AV45" i="28"/>
  <c r="AU45" i="28"/>
  <c r="AH45" i="28"/>
  <c r="AG45" i="28"/>
  <c r="AF45" i="28"/>
  <c r="AE45" i="28"/>
  <c r="AD45" i="28"/>
  <c r="AC45" i="28"/>
  <c r="AB45" i="28"/>
  <c r="AA45" i="28"/>
  <c r="Z45" i="28"/>
  <c r="Y45" i="28"/>
  <c r="L45" i="28"/>
  <c r="K45" i="28"/>
  <c r="J45" i="28"/>
  <c r="I45" i="28"/>
  <c r="H45" i="28"/>
  <c r="G45" i="28"/>
  <c r="F45" i="28"/>
  <c r="E45" i="28"/>
  <c r="D45" i="28"/>
  <c r="C45" i="28"/>
  <c r="BH41" i="28"/>
  <c r="BG41" i="28"/>
  <c r="BF41" i="28"/>
  <c r="BE41" i="28"/>
  <c r="AL41" i="28"/>
  <c r="AK41" i="28"/>
  <c r="AJ41" i="28"/>
  <c r="AI41" i="28"/>
  <c r="P41" i="28"/>
  <c r="O41" i="28"/>
  <c r="N41" i="28"/>
  <c r="M41" i="28"/>
  <c r="BD40" i="28"/>
  <c r="BC40" i="28"/>
  <c r="BB40" i="28"/>
  <c r="BA40" i="28"/>
  <c r="AZ40" i="28"/>
  <c r="AY40" i="28"/>
  <c r="AX40" i="28"/>
  <c r="AW40" i="28"/>
  <c r="AV40" i="28"/>
  <c r="AU40" i="28"/>
  <c r="AH40" i="28"/>
  <c r="AG40" i="28"/>
  <c r="AF40" i="28"/>
  <c r="AE40" i="28"/>
  <c r="AD40" i="28"/>
  <c r="AC40" i="28"/>
  <c r="AB40" i="28"/>
  <c r="AA40" i="28"/>
  <c r="Z40" i="28"/>
  <c r="Y40" i="28"/>
  <c r="L40" i="28"/>
  <c r="K40" i="28"/>
  <c r="J40" i="28"/>
  <c r="I40" i="28"/>
  <c r="H40" i="28"/>
  <c r="G40" i="28"/>
  <c r="F40" i="28"/>
  <c r="E40" i="28"/>
  <c r="D40" i="28"/>
  <c r="C40" i="28"/>
  <c r="BH36" i="28"/>
  <c r="BG36" i="28"/>
  <c r="BF36" i="28"/>
  <c r="BE36" i="28"/>
  <c r="AL36" i="28"/>
  <c r="AK36" i="28"/>
  <c r="AJ36" i="28"/>
  <c r="AI36" i="28"/>
  <c r="P36" i="28"/>
  <c r="O36" i="28"/>
  <c r="N36" i="28"/>
  <c r="M36" i="28"/>
  <c r="AM7" i="28" l="1"/>
  <c r="BI56" i="28"/>
  <c r="BI22" i="28"/>
  <c r="Q17" i="28"/>
  <c r="AM17" i="28"/>
  <c r="Q27" i="28"/>
  <c r="Q41" i="28"/>
  <c r="AM41" i="28"/>
  <c r="Q51" i="28"/>
  <c r="AM56" i="28"/>
  <c r="BI17" i="28"/>
  <c r="BI51" i="28"/>
  <c r="Q12" i="28"/>
  <c r="AM12" i="28"/>
  <c r="BI12" i="28"/>
  <c r="AM36" i="28"/>
  <c r="Q46" i="28"/>
  <c r="AM46" i="28"/>
  <c r="BI46" i="28"/>
  <c r="Q7" i="28"/>
  <c r="Q22" i="28"/>
  <c r="AM27" i="28"/>
  <c r="BI27" i="28"/>
  <c r="BI41" i="28"/>
  <c r="BI36" i="28"/>
  <c r="Q36" i="28"/>
  <c r="J5" i="28" l="1"/>
  <c r="D5" i="28" s="1"/>
  <c r="AF34" i="28"/>
  <c r="Z34" i="28" s="1"/>
  <c r="AZ11" i="2" s="1"/>
  <c r="BB5" i="28"/>
  <c r="AZ52" i="2" s="1"/>
  <c r="J34" i="28"/>
  <c r="AZ53" i="2" s="1"/>
  <c r="AF5" i="28"/>
  <c r="AZ51" i="2" s="1"/>
  <c r="AZ54" i="2"/>
  <c r="AZ50" i="2"/>
  <c r="BB34" i="28"/>
  <c r="AZ55" i="2" s="1"/>
  <c r="AZ7" i="2"/>
  <c r="D7" i="2" s="1"/>
  <c r="AV5" i="28"/>
  <c r="AZ9" i="2" s="1"/>
  <c r="Z5" i="28" l="1"/>
  <c r="AZ8" i="2" s="1"/>
  <c r="D34" i="28"/>
  <c r="AZ10" i="2" s="1"/>
  <c r="AV34" i="28"/>
  <c r="AZ12" i="2" s="1"/>
  <c r="AF41" i="9" l="1"/>
  <c r="AF6" i="9" s="1"/>
  <c r="AD41" i="9"/>
  <c r="AD6" i="9" s="1"/>
  <c r="U41" i="9"/>
  <c r="U6" i="9" s="1"/>
  <c r="H41" i="9"/>
  <c r="AB41" i="9"/>
  <c r="AB6" i="9" s="1"/>
  <c r="F60" i="10" l="1"/>
  <c r="H60" i="10"/>
  <c r="F59" i="10"/>
  <c r="H59" i="10"/>
  <c r="H58" i="10" l="1"/>
  <c r="F58" i="10"/>
  <c r="H57" i="10" l="1"/>
  <c r="F57" i="10"/>
  <c r="F56" i="10"/>
  <c r="O29" i="27" l="1"/>
  <c r="H14" i="11" l="1"/>
  <c r="H15" i="11"/>
  <c r="H16" i="11"/>
  <c r="H17" i="11"/>
  <c r="H18" i="11"/>
  <c r="H19" i="11"/>
  <c r="H20" i="11"/>
  <c r="H21" i="11"/>
  <c r="H22" i="11"/>
  <c r="H23" i="11"/>
  <c r="H24" i="11"/>
  <c r="H25" i="11"/>
  <c r="H26" i="11"/>
  <c r="H27" i="11"/>
  <c r="H28" i="11"/>
  <c r="H29" i="11"/>
  <c r="H30" i="11"/>
  <c r="H31" i="11"/>
  <c r="H32" i="11"/>
  <c r="H33" i="11"/>
  <c r="H34" i="11"/>
  <c r="H35" i="11"/>
  <c r="H36" i="11"/>
  <c r="H37" i="11"/>
  <c r="H38" i="11"/>
  <c r="H39" i="11"/>
  <c r="H40" i="11"/>
  <c r="H41" i="11"/>
  <c r="H42" i="11"/>
  <c r="H43" i="11"/>
  <c r="H44" i="11"/>
  <c r="H45" i="11"/>
  <c r="H46" i="11"/>
  <c r="H47" i="11"/>
  <c r="H48" i="11"/>
  <c r="H49" i="11"/>
  <c r="H50" i="11"/>
  <c r="H51" i="11"/>
  <c r="H52" i="11"/>
  <c r="H53" i="11"/>
  <c r="H54" i="11"/>
  <c r="H55" i="11"/>
  <c r="H56" i="11"/>
  <c r="H57" i="11"/>
  <c r="H58" i="11"/>
  <c r="H59" i="11"/>
  <c r="E8" i="15"/>
  <c r="E9" i="15"/>
  <c r="E10" i="15"/>
  <c r="E11" i="15"/>
  <c r="E12" i="15"/>
  <c r="E13" i="15"/>
  <c r="E14" i="15"/>
  <c r="E15" i="15"/>
  <c r="E16" i="15"/>
  <c r="E17" i="15"/>
  <c r="E18" i="15"/>
  <c r="E19" i="15"/>
  <c r="E20" i="15"/>
  <c r="E21" i="15"/>
  <c r="E22" i="15"/>
  <c r="E23" i="15"/>
  <c r="E24" i="15"/>
  <c r="E25" i="15"/>
  <c r="E26" i="15"/>
  <c r="E27" i="15"/>
  <c r="E28" i="15"/>
  <c r="E29" i="15"/>
  <c r="E30" i="15"/>
  <c r="E31" i="15"/>
  <c r="E32" i="15"/>
  <c r="E33" i="15"/>
  <c r="E34" i="15"/>
  <c r="E35" i="15"/>
  <c r="E36" i="15"/>
  <c r="E37" i="15"/>
  <c r="E38" i="15"/>
  <c r="E39" i="15"/>
  <c r="E40" i="15"/>
  <c r="E41" i="15"/>
  <c r="E42" i="15"/>
  <c r="E43" i="15"/>
  <c r="E44" i="15"/>
  <c r="E45" i="15"/>
  <c r="E46" i="15"/>
  <c r="E47" i="15"/>
  <c r="E48" i="15"/>
  <c r="E49" i="15"/>
  <c r="E50" i="15"/>
  <c r="E51" i="15"/>
  <c r="E52" i="15"/>
  <c r="E53" i="15"/>
  <c r="E54" i="15"/>
  <c r="E55" i="15"/>
  <c r="E56" i="15"/>
  <c r="E57" i="15"/>
  <c r="E58" i="15"/>
  <c r="E59" i="15"/>
  <c r="E60" i="15"/>
  <c r="E7" i="15"/>
  <c r="D8" i="15"/>
  <c r="D9" i="15"/>
  <c r="D10" i="15"/>
  <c r="D11" i="15"/>
  <c r="D12" i="15"/>
  <c r="D14" i="15"/>
  <c r="D15" i="15"/>
  <c r="D16" i="15"/>
  <c r="D17" i="15"/>
  <c r="D18" i="15"/>
  <c r="D19" i="15"/>
  <c r="D20" i="15"/>
  <c r="D21" i="15"/>
  <c r="D22" i="15"/>
  <c r="D23" i="15"/>
  <c r="D24" i="15"/>
  <c r="D25" i="15"/>
  <c r="D26" i="15"/>
  <c r="D27" i="15"/>
  <c r="D28" i="15"/>
  <c r="D29" i="15"/>
  <c r="D30" i="15"/>
  <c r="D31" i="15"/>
  <c r="D32" i="15"/>
  <c r="D33" i="15"/>
  <c r="D34" i="15"/>
  <c r="D35" i="15"/>
  <c r="D36" i="15"/>
  <c r="D37" i="15"/>
  <c r="D38" i="15"/>
  <c r="D39" i="15"/>
  <c r="D40" i="15"/>
  <c r="D41" i="15"/>
  <c r="D42" i="15"/>
  <c r="D43" i="15"/>
  <c r="D44" i="15"/>
  <c r="D45" i="15"/>
  <c r="D46" i="15"/>
  <c r="D47" i="15"/>
  <c r="D48" i="15"/>
  <c r="D49" i="15"/>
  <c r="D50" i="15"/>
  <c r="D51" i="15"/>
  <c r="D52" i="15"/>
  <c r="D53" i="15"/>
  <c r="D54" i="15"/>
  <c r="D55" i="15"/>
  <c r="D56" i="15"/>
  <c r="D57" i="15"/>
  <c r="D58" i="15"/>
  <c r="D59" i="15"/>
  <c r="D60" i="15"/>
  <c r="D7" i="15"/>
  <c r="F5" i="2" l="1"/>
  <c r="H7" i="2" l="1"/>
  <c r="H40" i="2"/>
  <c r="H41" i="2"/>
  <c r="H42" i="2"/>
  <c r="H39" i="2"/>
  <c r="AL2" i="6"/>
  <c r="AM2" i="6"/>
  <c r="AN2" i="6"/>
  <c r="AL2" i="25"/>
  <c r="AM2" i="25"/>
  <c r="AN2" i="25"/>
  <c r="AO2" i="25"/>
  <c r="AP2" i="25"/>
  <c r="AQ2" i="25"/>
  <c r="AR2" i="25"/>
  <c r="AS2" i="25"/>
  <c r="AT2" i="25"/>
  <c r="AU2" i="25"/>
  <c r="AV2" i="25"/>
  <c r="AK2" i="3"/>
  <c r="AL2" i="3"/>
  <c r="H5" i="26" l="1"/>
  <c r="H6" i="26"/>
  <c r="H7" i="26"/>
  <c r="H8" i="26"/>
  <c r="H9" i="26"/>
  <c r="H10" i="26"/>
  <c r="H11" i="26"/>
  <c r="H12" i="26"/>
  <c r="H13" i="26"/>
  <c r="H14" i="26"/>
  <c r="H15" i="26"/>
  <c r="H16" i="26"/>
  <c r="H17" i="26"/>
  <c r="H18" i="26"/>
  <c r="H19" i="26"/>
  <c r="H20" i="26"/>
  <c r="H21" i="26"/>
  <c r="H22" i="26"/>
  <c r="H23" i="26"/>
  <c r="H24" i="26"/>
  <c r="H25" i="26"/>
  <c r="H26" i="26"/>
  <c r="H27" i="26"/>
  <c r="H28" i="26"/>
  <c r="H29" i="26"/>
  <c r="H30" i="26"/>
  <c r="H31" i="26"/>
  <c r="H32" i="26"/>
  <c r="H33" i="26"/>
  <c r="H34" i="26"/>
  <c r="H35" i="26"/>
  <c r="H36" i="26"/>
  <c r="H37" i="26"/>
  <c r="H38" i="26"/>
  <c r="H39" i="26"/>
  <c r="H40" i="26"/>
  <c r="H41" i="26"/>
  <c r="H42" i="26"/>
  <c r="H43" i="26"/>
  <c r="H44" i="26"/>
  <c r="H45" i="26"/>
  <c r="H46" i="26"/>
  <c r="H47" i="26"/>
  <c r="H48" i="26"/>
  <c r="H49" i="26"/>
  <c r="H50" i="26"/>
  <c r="H51" i="26"/>
  <c r="H52" i="26"/>
  <c r="H53" i="26"/>
  <c r="H54" i="26"/>
  <c r="H55" i="26"/>
  <c r="H56" i="26"/>
  <c r="H57" i="26"/>
  <c r="H4" i="26"/>
  <c r="P77" i="25" l="1"/>
  <c r="O77" i="25"/>
  <c r="P76" i="25"/>
  <c r="O76" i="25"/>
  <c r="P75" i="25"/>
  <c r="O75" i="25"/>
  <c r="P74" i="25"/>
  <c r="O74" i="25"/>
  <c r="P73" i="25"/>
  <c r="O73" i="25"/>
  <c r="AS67" i="25"/>
  <c r="AR67" i="25"/>
  <c r="AQ67" i="25"/>
  <c r="AP67" i="25"/>
  <c r="AO67" i="25"/>
  <c r="AM67" i="25"/>
  <c r="AJ67" i="25"/>
  <c r="AI67" i="25"/>
  <c r="AH67" i="25"/>
  <c r="AG67" i="25"/>
  <c r="AF67" i="25"/>
  <c r="AE67" i="25"/>
  <c r="AD67" i="25"/>
  <c r="AC67" i="25"/>
  <c r="AB67" i="25"/>
  <c r="AA67" i="25"/>
  <c r="Z67" i="25"/>
  <c r="Y67" i="25"/>
  <c r="X67" i="25"/>
  <c r="W67" i="25"/>
  <c r="V67" i="25"/>
  <c r="U67" i="25"/>
  <c r="T67" i="25"/>
  <c r="S67" i="25"/>
  <c r="R67" i="25"/>
  <c r="Q67" i="25"/>
  <c r="P67" i="25"/>
  <c r="O67" i="25"/>
  <c r="N67" i="25"/>
  <c r="M67" i="25"/>
  <c r="AS66" i="25"/>
  <c r="AR66" i="25"/>
  <c r="AQ66" i="25"/>
  <c r="AP66" i="25"/>
  <c r="AO66" i="25"/>
  <c r="AN66" i="25"/>
  <c r="AM66" i="25"/>
  <c r="AL66" i="25"/>
  <c r="AJ66" i="25"/>
  <c r="AI66" i="25"/>
  <c r="AH66" i="25"/>
  <c r="AG66" i="25"/>
  <c r="AF66" i="25"/>
  <c r="AE66" i="25"/>
  <c r="AD66" i="25"/>
  <c r="AC66" i="25"/>
  <c r="AB66" i="25"/>
  <c r="AA66" i="25"/>
  <c r="Z66" i="25"/>
  <c r="Y66" i="25"/>
  <c r="X66" i="25"/>
  <c r="W66" i="25"/>
  <c r="V66" i="25"/>
  <c r="U66" i="25"/>
  <c r="T66" i="25"/>
  <c r="S66" i="25"/>
  <c r="R66" i="25"/>
  <c r="Q66" i="25"/>
  <c r="P66" i="25"/>
  <c r="O66" i="25"/>
  <c r="N66" i="25"/>
  <c r="M66" i="25"/>
  <c r="AS65" i="25"/>
  <c r="AR65" i="25"/>
  <c r="AQ65" i="25"/>
  <c r="AP65" i="25"/>
  <c r="AO65" i="25"/>
  <c r="AM65" i="25"/>
  <c r="AL65" i="25"/>
  <c r="AK65" i="25"/>
  <c r="AJ65" i="25"/>
  <c r="AI65" i="25"/>
  <c r="AH65" i="25"/>
  <c r="AG65" i="25"/>
  <c r="AF65" i="25"/>
  <c r="AE65" i="25"/>
  <c r="AD65" i="25"/>
  <c r="AC65" i="25"/>
  <c r="AB65" i="25"/>
  <c r="AA65" i="25"/>
  <c r="Z65" i="25"/>
  <c r="Y65" i="25"/>
  <c r="X65" i="25"/>
  <c r="W65" i="25"/>
  <c r="V65" i="25"/>
  <c r="U65" i="25"/>
  <c r="T65" i="25"/>
  <c r="S65" i="25"/>
  <c r="R65" i="25"/>
  <c r="Q65" i="25"/>
  <c r="P65" i="25"/>
  <c r="O65" i="25"/>
  <c r="N65" i="25"/>
  <c r="M65" i="25"/>
  <c r="AS64" i="25"/>
  <c r="AR64" i="25"/>
  <c r="AQ64" i="25"/>
  <c r="AP64" i="25"/>
  <c r="AO64" i="25"/>
  <c r="AN64" i="25"/>
  <c r="AM64" i="25"/>
  <c r="AL64" i="25"/>
  <c r="AK64" i="25"/>
  <c r="AJ64" i="25"/>
  <c r="AI64" i="25"/>
  <c r="AH64" i="25"/>
  <c r="AG64" i="25"/>
  <c r="AF64" i="25"/>
  <c r="AE64" i="25"/>
  <c r="AD64" i="25"/>
  <c r="AC64" i="25"/>
  <c r="AB64" i="25"/>
  <c r="AA64" i="25"/>
  <c r="Z64" i="25"/>
  <c r="Y64" i="25"/>
  <c r="X64" i="25"/>
  <c r="W64" i="25"/>
  <c r="V64" i="25"/>
  <c r="U64" i="25"/>
  <c r="T64" i="25"/>
  <c r="S64" i="25"/>
  <c r="R64" i="25"/>
  <c r="Q64" i="25"/>
  <c r="P64" i="25"/>
  <c r="O64" i="25"/>
  <c r="N64" i="25"/>
  <c r="M64" i="25"/>
  <c r="AS63" i="25"/>
  <c r="AR63" i="25"/>
  <c r="AQ63" i="25"/>
  <c r="AP63" i="25"/>
  <c r="AO63" i="25"/>
  <c r="AN63" i="25"/>
  <c r="AM63" i="25"/>
  <c r="AK63" i="25"/>
  <c r="AJ63" i="25"/>
  <c r="AI63" i="25"/>
  <c r="AH63" i="25"/>
  <c r="AG63" i="25"/>
  <c r="AF63" i="25"/>
  <c r="AE63" i="25"/>
  <c r="AD63" i="25"/>
  <c r="AC63" i="25"/>
  <c r="AB63" i="25"/>
  <c r="AA63" i="25"/>
  <c r="Z63" i="25"/>
  <c r="Y63" i="25"/>
  <c r="X63" i="25"/>
  <c r="W63" i="25"/>
  <c r="V63" i="25"/>
  <c r="U63" i="25"/>
  <c r="T63" i="25"/>
  <c r="S63" i="25"/>
  <c r="R63" i="25"/>
  <c r="Q63" i="25"/>
  <c r="P63" i="25"/>
  <c r="O63" i="25"/>
  <c r="N63" i="25"/>
  <c r="M63" i="25"/>
  <c r="E61" i="25"/>
  <c r="D61" i="25"/>
  <c r="E60" i="25"/>
  <c r="D60" i="25"/>
  <c r="E59" i="25"/>
  <c r="D59" i="25"/>
  <c r="E58" i="25"/>
  <c r="D58" i="25"/>
  <c r="E57" i="25"/>
  <c r="D57" i="25"/>
  <c r="E56" i="25"/>
  <c r="D56" i="25"/>
  <c r="AK55" i="25"/>
  <c r="AK67" i="25" s="1"/>
  <c r="E55" i="25"/>
  <c r="D55" i="25"/>
  <c r="E54" i="25"/>
  <c r="D54" i="25"/>
  <c r="E53" i="25"/>
  <c r="D53" i="25"/>
  <c r="E52" i="25"/>
  <c r="D52" i="25"/>
  <c r="E51" i="25"/>
  <c r="D51" i="25"/>
  <c r="E50" i="25"/>
  <c r="D50" i="25"/>
  <c r="E49" i="25"/>
  <c r="D49" i="25"/>
  <c r="E48" i="25"/>
  <c r="D48" i="25"/>
  <c r="E47" i="25"/>
  <c r="D47" i="25"/>
  <c r="E46" i="25"/>
  <c r="D46" i="25"/>
  <c r="E45" i="25"/>
  <c r="D45" i="25"/>
  <c r="E44" i="25"/>
  <c r="D44" i="25"/>
  <c r="AN43" i="25"/>
  <c r="AN65" i="25" s="1"/>
  <c r="D43" i="25"/>
  <c r="E42" i="25"/>
  <c r="D42" i="25"/>
  <c r="E41" i="25"/>
  <c r="D41" i="25"/>
  <c r="E40" i="25"/>
  <c r="D40" i="25"/>
  <c r="E39" i="25"/>
  <c r="D39" i="25"/>
  <c r="E38" i="25"/>
  <c r="D38" i="25"/>
  <c r="E37" i="25"/>
  <c r="D37" i="25"/>
  <c r="E36" i="25"/>
  <c r="D36" i="25"/>
  <c r="E35" i="25"/>
  <c r="D35" i="25"/>
  <c r="E34" i="25"/>
  <c r="D34" i="25"/>
  <c r="E33" i="25"/>
  <c r="D33" i="25"/>
  <c r="E32" i="25"/>
  <c r="D32" i="25"/>
  <c r="E31" i="25"/>
  <c r="D31" i="25"/>
  <c r="E30" i="25"/>
  <c r="D30" i="25"/>
  <c r="E29" i="25"/>
  <c r="D29" i="25"/>
  <c r="E28" i="25"/>
  <c r="D28" i="25"/>
  <c r="E27" i="25"/>
  <c r="D27" i="25"/>
  <c r="E26" i="25"/>
  <c r="D26" i="25"/>
  <c r="AL25" i="25"/>
  <c r="AL67" i="25" s="1"/>
  <c r="D25" i="25"/>
  <c r="E24" i="25"/>
  <c r="D24" i="25"/>
  <c r="E23" i="25"/>
  <c r="D23" i="25"/>
  <c r="E22" i="25"/>
  <c r="D22" i="25"/>
  <c r="E21" i="25"/>
  <c r="D21" i="25"/>
  <c r="E20" i="25"/>
  <c r="D20" i="25"/>
  <c r="E19" i="25"/>
  <c r="D19" i="25"/>
  <c r="E18" i="25"/>
  <c r="D18" i="25"/>
  <c r="E17" i="25"/>
  <c r="D17" i="25"/>
  <c r="E16" i="25"/>
  <c r="D16" i="25"/>
  <c r="E15" i="25"/>
  <c r="D15" i="25"/>
  <c r="D14" i="25"/>
  <c r="D13" i="25"/>
  <c r="D12" i="25"/>
  <c r="D11" i="25"/>
  <c r="D10" i="25"/>
  <c r="D9" i="25"/>
  <c r="D8" i="25"/>
  <c r="H6" i="25"/>
  <c r="F6" i="25"/>
  <c r="H58" i="25" l="1"/>
  <c r="AN67" i="25"/>
  <c r="I6" i="25"/>
  <c r="E25" i="25"/>
  <c r="E43" i="25"/>
  <c r="AK66" i="25"/>
  <c r="H18" i="25"/>
  <c r="H35" i="25"/>
  <c r="H52" i="25"/>
  <c r="H57" i="25"/>
  <c r="H61" i="25"/>
  <c r="H17" i="25"/>
  <c r="H21" i="25"/>
  <c r="H25" i="25"/>
  <c r="H26" i="25"/>
  <c r="H30" i="25"/>
  <c r="H34" i="25"/>
  <c r="H38" i="25"/>
  <c r="H42" i="25"/>
  <c r="H47" i="25"/>
  <c r="H51" i="25"/>
  <c r="H55" i="25"/>
  <c r="H56" i="25"/>
  <c r="H60" i="25"/>
  <c r="H22" i="25"/>
  <c r="H27" i="25"/>
  <c r="H39" i="25"/>
  <c r="H43" i="25"/>
  <c r="H44" i="25"/>
  <c r="H16" i="25"/>
  <c r="H20" i="25"/>
  <c r="H24" i="25"/>
  <c r="H29" i="25"/>
  <c r="H33" i="25"/>
  <c r="H37" i="25"/>
  <c r="H41" i="25"/>
  <c r="H46" i="25"/>
  <c r="H50" i="25"/>
  <c r="H54" i="25"/>
  <c r="H59" i="25"/>
  <c r="AL63" i="25"/>
  <c r="H14" i="25"/>
  <c r="H31" i="25"/>
  <c r="H48" i="25"/>
  <c r="F7" i="25"/>
  <c r="H15" i="25"/>
  <c r="H19" i="25"/>
  <c r="H23" i="25"/>
  <c r="H28" i="25"/>
  <c r="H32" i="25"/>
  <c r="H36" i="25"/>
  <c r="H40" i="25"/>
  <c r="H45" i="25"/>
  <c r="H49" i="25"/>
  <c r="H53" i="25"/>
  <c r="D12" i="11" l="1"/>
  <c r="F4" i="11"/>
  <c r="H45" i="10" l="1"/>
  <c r="F45" i="10"/>
  <c r="H44" i="10" l="1"/>
  <c r="H43" i="10"/>
  <c r="F44" i="10"/>
  <c r="F43" i="10"/>
  <c r="F42" i="10" l="1"/>
  <c r="H36" i="9" l="1"/>
  <c r="H6" i="9" s="1"/>
  <c r="AO61" i="8"/>
  <c r="AF61" i="8"/>
  <c r="AG61" i="8"/>
  <c r="AH61" i="8"/>
  <c r="AI61" i="8"/>
  <c r="AJ61" i="8"/>
  <c r="AK61" i="8"/>
  <c r="AL61" i="8"/>
  <c r="AM61" i="8"/>
  <c r="AN61" i="8"/>
  <c r="AP61" i="8"/>
  <c r="Q36" i="9"/>
  <c r="Q6" i="9" s="1"/>
  <c r="F36" i="9"/>
  <c r="F6" i="9" s="1"/>
  <c r="H35" i="10"/>
  <c r="F35" i="10"/>
  <c r="H34" i="10"/>
  <c r="F34" i="10"/>
  <c r="J5" i="6"/>
  <c r="F6" i="3"/>
  <c r="D15" i="2"/>
  <c r="D127" i="19"/>
  <c r="J127" i="19" s="1"/>
  <c r="D66" i="19"/>
  <c r="J66" i="19" s="1"/>
  <c r="D15" i="19"/>
  <c r="D182" i="19"/>
  <c r="D181" i="19"/>
  <c r="D180" i="19"/>
  <c r="D179" i="19"/>
  <c r="D178" i="19"/>
  <c r="D177" i="19"/>
  <c r="D176" i="19"/>
  <c r="D175" i="19"/>
  <c r="D174" i="19"/>
  <c r="D173" i="19"/>
  <c r="D172" i="19"/>
  <c r="D171" i="19"/>
  <c r="D170" i="19"/>
  <c r="D169" i="19"/>
  <c r="D168" i="19"/>
  <c r="D167" i="19"/>
  <c r="D166" i="19"/>
  <c r="D165" i="19"/>
  <c r="D164" i="19"/>
  <c r="D163" i="19"/>
  <c r="D162" i="19"/>
  <c r="D161" i="19"/>
  <c r="D160" i="19"/>
  <c r="D159" i="19"/>
  <c r="D158" i="19"/>
  <c r="D157" i="19"/>
  <c r="D156" i="19"/>
  <c r="D155" i="19"/>
  <c r="D154" i="19"/>
  <c r="D153" i="19"/>
  <c r="D152" i="19"/>
  <c r="D151" i="19"/>
  <c r="D150" i="19"/>
  <c r="D149" i="19"/>
  <c r="D148" i="19"/>
  <c r="D147" i="19"/>
  <c r="D146" i="19"/>
  <c r="D145" i="19"/>
  <c r="D144" i="19"/>
  <c r="D143" i="19"/>
  <c r="D142" i="19"/>
  <c r="D141" i="19"/>
  <c r="D140" i="19"/>
  <c r="D139" i="19"/>
  <c r="D138" i="19"/>
  <c r="D137" i="19"/>
  <c r="D136" i="19"/>
  <c r="D135" i="19"/>
  <c r="D134" i="19"/>
  <c r="D133" i="19"/>
  <c r="D132" i="19"/>
  <c r="D131" i="19"/>
  <c r="D130" i="19"/>
  <c r="D129" i="19"/>
  <c r="D128" i="19"/>
  <c r="L124" i="19"/>
  <c r="D121" i="19"/>
  <c r="D120" i="19"/>
  <c r="D119" i="19"/>
  <c r="D118" i="19"/>
  <c r="D117" i="19"/>
  <c r="D116" i="19"/>
  <c r="D115" i="19"/>
  <c r="D114" i="19"/>
  <c r="D113" i="19"/>
  <c r="D112" i="19"/>
  <c r="D111" i="19"/>
  <c r="D110" i="19"/>
  <c r="D109" i="19"/>
  <c r="D108" i="19"/>
  <c r="D107" i="19"/>
  <c r="D106" i="19"/>
  <c r="D105" i="19"/>
  <c r="D104" i="19"/>
  <c r="D103" i="19"/>
  <c r="D102" i="19"/>
  <c r="D101" i="19"/>
  <c r="D100" i="19"/>
  <c r="D99" i="19"/>
  <c r="D98" i="19"/>
  <c r="D97" i="19"/>
  <c r="D96" i="19"/>
  <c r="D95" i="19"/>
  <c r="D94" i="19"/>
  <c r="D93" i="19"/>
  <c r="D92" i="19"/>
  <c r="D91" i="19"/>
  <c r="D90" i="19"/>
  <c r="D89" i="19"/>
  <c r="D88" i="19"/>
  <c r="D87" i="19"/>
  <c r="D86" i="19"/>
  <c r="D85" i="19"/>
  <c r="D84" i="19"/>
  <c r="D83" i="19"/>
  <c r="D82" i="19"/>
  <c r="D81" i="19"/>
  <c r="D80" i="19"/>
  <c r="D79" i="19"/>
  <c r="D78" i="19"/>
  <c r="D77" i="19"/>
  <c r="D76" i="19"/>
  <c r="D75" i="19"/>
  <c r="D74" i="19"/>
  <c r="D73" i="19"/>
  <c r="D72" i="19"/>
  <c r="D71" i="19"/>
  <c r="D70" i="19"/>
  <c r="D69" i="19"/>
  <c r="D68" i="19"/>
  <c r="D67" i="19"/>
  <c r="H66" i="19"/>
  <c r="L63" i="19"/>
  <c r="D60" i="19"/>
  <c r="D59" i="19"/>
  <c r="D58" i="19"/>
  <c r="D57" i="19"/>
  <c r="D56" i="19"/>
  <c r="D55" i="19"/>
  <c r="D54" i="19"/>
  <c r="D53" i="19"/>
  <c r="D52" i="19"/>
  <c r="D51" i="19"/>
  <c r="D50" i="19"/>
  <c r="D49" i="19"/>
  <c r="D48" i="19"/>
  <c r="D47" i="19"/>
  <c r="D46" i="19"/>
  <c r="D45" i="19"/>
  <c r="D44" i="19"/>
  <c r="D43" i="19"/>
  <c r="D42" i="19"/>
  <c r="D41" i="19"/>
  <c r="D40" i="19"/>
  <c r="D39" i="19"/>
  <c r="D38" i="19"/>
  <c r="D37" i="19"/>
  <c r="D36" i="19"/>
  <c r="D35" i="19"/>
  <c r="D34" i="19"/>
  <c r="D33" i="19"/>
  <c r="D32" i="19"/>
  <c r="D31" i="19"/>
  <c r="D30" i="19"/>
  <c r="D29" i="19"/>
  <c r="D28" i="19"/>
  <c r="D27" i="19"/>
  <c r="D26" i="19"/>
  <c r="D25" i="19"/>
  <c r="D24" i="19"/>
  <c r="D23" i="19"/>
  <c r="D22" i="19"/>
  <c r="D21" i="19"/>
  <c r="D20" i="19"/>
  <c r="D19" i="19"/>
  <c r="D18" i="19"/>
  <c r="D17" i="19"/>
  <c r="D16" i="19"/>
  <c r="D14" i="19"/>
  <c r="D13" i="19"/>
  <c r="D12" i="19"/>
  <c r="D11" i="19"/>
  <c r="D10" i="19"/>
  <c r="D9" i="19"/>
  <c r="D8" i="19"/>
  <c r="D7" i="19"/>
  <c r="D6" i="19"/>
  <c r="J5" i="19"/>
  <c r="H5" i="19"/>
  <c r="J22" i="19" s="1"/>
  <c r="L2" i="19"/>
  <c r="F105" i="19" s="1"/>
  <c r="D10" i="7"/>
  <c r="D11" i="7"/>
  <c r="D12" i="7"/>
  <c r="D7" i="6"/>
  <c r="D8" i="6"/>
  <c r="D9" i="6"/>
  <c r="D10" i="6"/>
  <c r="D11" i="6"/>
  <c r="D12" i="6"/>
  <c r="E50" i="2"/>
  <c r="Y34" i="15"/>
  <c r="G34" i="15" s="1"/>
  <c r="K34" i="15"/>
  <c r="F34" i="15" s="1"/>
  <c r="D16" i="3"/>
  <c r="D14" i="3"/>
  <c r="D15" i="3"/>
  <c r="D17" i="3"/>
  <c r="H6" i="3"/>
  <c r="D15" i="11"/>
  <c r="D16" i="11"/>
  <c r="D17" i="11"/>
  <c r="D18" i="11"/>
  <c r="D19" i="11"/>
  <c r="D20" i="11"/>
  <c r="D21" i="11"/>
  <c r="D22" i="11"/>
  <c r="D23" i="11"/>
  <c r="D24" i="11"/>
  <c r="D25" i="11"/>
  <c r="D26" i="11"/>
  <c r="D27" i="11"/>
  <c r="D28" i="11"/>
  <c r="D29" i="11"/>
  <c r="D30" i="11"/>
  <c r="D31" i="11"/>
  <c r="D32" i="11"/>
  <c r="D33" i="11"/>
  <c r="D34" i="11"/>
  <c r="D35" i="11"/>
  <c r="D36" i="11"/>
  <c r="D37" i="11"/>
  <c r="D38" i="11"/>
  <c r="D39" i="11"/>
  <c r="D40" i="11"/>
  <c r="D41" i="11"/>
  <c r="D42" i="11"/>
  <c r="D43" i="11"/>
  <c r="D44" i="11"/>
  <c r="D45" i="11"/>
  <c r="D46" i="11"/>
  <c r="D47" i="11"/>
  <c r="D48" i="11"/>
  <c r="D49" i="11"/>
  <c r="D50" i="11"/>
  <c r="D51" i="11"/>
  <c r="D52" i="11"/>
  <c r="D53" i="11"/>
  <c r="D54" i="11"/>
  <c r="D55" i="11"/>
  <c r="D56" i="11"/>
  <c r="D57" i="11"/>
  <c r="D58" i="11"/>
  <c r="D59" i="11"/>
  <c r="D13" i="11"/>
  <c r="D14" i="11"/>
  <c r="H5" i="6"/>
  <c r="H4" i="11"/>
  <c r="F5" i="11" s="1"/>
  <c r="J5" i="7"/>
  <c r="H5" i="7"/>
  <c r="J29" i="7" s="1"/>
  <c r="J5" i="8"/>
  <c r="H35" i="8" s="1"/>
  <c r="H5" i="8"/>
  <c r="H6" i="5"/>
  <c r="AM74" i="2"/>
  <c r="AM73" i="2"/>
  <c r="AM30" i="2"/>
  <c r="E30" i="2" s="1"/>
  <c r="AM64" i="2"/>
  <c r="AM63" i="2"/>
  <c r="AM62" i="2"/>
  <c r="AM60" i="2"/>
  <c r="E60" i="2" s="1"/>
  <c r="P12" i="11"/>
  <c r="P13" i="11"/>
  <c r="AM12" i="3"/>
  <c r="E12" i="3" s="1"/>
  <c r="AM57" i="2"/>
  <c r="AM58" i="2"/>
  <c r="AM59" i="2"/>
  <c r="E59" i="2" s="1"/>
  <c r="D48" i="2"/>
  <c r="D50" i="2" s="1"/>
  <c r="AL79" i="2"/>
  <c r="AL42" i="8"/>
  <c r="AL43" i="3"/>
  <c r="AL73" i="2"/>
  <c r="E73" i="2" s="1"/>
  <c r="AL28" i="2"/>
  <c r="AL69" i="2"/>
  <c r="E69" i="2"/>
  <c r="AL67" i="2"/>
  <c r="AL66" i="2"/>
  <c r="E66" i="2" s="1"/>
  <c r="AL65" i="2"/>
  <c r="AL64" i="2"/>
  <c r="AL62" i="2"/>
  <c r="AL61" i="2"/>
  <c r="AL59" i="2"/>
  <c r="L2" i="8"/>
  <c r="F41" i="8" s="1"/>
  <c r="F60" i="7"/>
  <c r="F59" i="7"/>
  <c r="F58" i="7"/>
  <c r="F57" i="7"/>
  <c r="F56" i="7"/>
  <c r="F55" i="7"/>
  <c r="F54" i="7"/>
  <c r="F53" i="7"/>
  <c r="F52" i="7"/>
  <c r="F51" i="7"/>
  <c r="F50" i="7"/>
  <c r="F49" i="7"/>
  <c r="F48" i="7"/>
  <c r="F47" i="7"/>
  <c r="F46" i="7"/>
  <c r="F45" i="7"/>
  <c r="F44" i="7"/>
  <c r="F43" i="7"/>
  <c r="F42" i="7"/>
  <c r="F41" i="7"/>
  <c r="F40" i="7"/>
  <c r="F39" i="7"/>
  <c r="F38" i="7"/>
  <c r="F37" i="7"/>
  <c r="F36" i="7"/>
  <c r="F35" i="7"/>
  <c r="F34" i="7"/>
  <c r="F33" i="7"/>
  <c r="F32" i="7"/>
  <c r="F31" i="7"/>
  <c r="F30" i="7"/>
  <c r="F29" i="7"/>
  <c r="F28" i="7"/>
  <c r="F27" i="7"/>
  <c r="F26" i="7"/>
  <c r="F25" i="7"/>
  <c r="F23" i="7"/>
  <c r="F22" i="7"/>
  <c r="F21" i="7"/>
  <c r="F20" i="7"/>
  <c r="F19" i="7"/>
  <c r="F18" i="7"/>
  <c r="F17" i="7"/>
  <c r="F16" i="7"/>
  <c r="F15" i="7"/>
  <c r="F14" i="7"/>
  <c r="F13" i="7"/>
  <c r="E85" i="2"/>
  <c r="E84" i="2"/>
  <c r="E76" i="2"/>
  <c r="E70" i="2"/>
  <c r="E68" i="2"/>
  <c r="E65" i="2"/>
  <c r="E53" i="2"/>
  <c r="E52" i="2"/>
  <c r="E51" i="2"/>
  <c r="D22" i="2"/>
  <c r="D23" i="2"/>
  <c r="D24" i="2"/>
  <c r="D25" i="2"/>
  <c r="D26" i="2"/>
  <c r="D27" i="2"/>
  <c r="D28" i="2"/>
  <c r="D29" i="2"/>
  <c r="D30" i="2"/>
  <c r="D31" i="2"/>
  <c r="D32" i="2"/>
  <c r="D33" i="2"/>
  <c r="D34" i="2"/>
  <c r="D35" i="2"/>
  <c r="D36" i="2"/>
  <c r="D37" i="2"/>
  <c r="D38" i="2"/>
  <c r="D39" i="2"/>
  <c r="D40" i="2"/>
  <c r="D41" i="2"/>
  <c r="D42" i="2"/>
  <c r="D13" i="6"/>
  <c r="AK57" i="2"/>
  <c r="AK58" i="2"/>
  <c r="AK56" i="2"/>
  <c r="E56" i="2" s="1"/>
  <c r="AK55" i="2"/>
  <c r="E55" i="2"/>
  <c r="AK54" i="2"/>
  <c r="E54" i="2"/>
  <c r="AJ80" i="2"/>
  <c r="AJ79" i="2"/>
  <c r="AJ78" i="2"/>
  <c r="E78" i="2"/>
  <c r="AJ35" i="2"/>
  <c r="AJ75" i="2"/>
  <c r="AJ72" i="2"/>
  <c r="E72" i="2" s="1"/>
  <c r="AJ24" i="8"/>
  <c r="AJ24" i="7"/>
  <c r="F24" i="7" s="1"/>
  <c r="AL24" i="6"/>
  <c r="AJ22" i="8"/>
  <c r="AJ56" i="2"/>
  <c r="AJ13" i="2"/>
  <c r="D12" i="8"/>
  <c r="D11" i="8"/>
  <c r="D10" i="8"/>
  <c r="D9" i="8"/>
  <c r="D8" i="8"/>
  <c r="D7" i="8"/>
  <c r="AI83" i="2"/>
  <c r="AI82" i="2"/>
  <c r="E82" i="2" s="1"/>
  <c r="AI40" i="2"/>
  <c r="AI39" i="2"/>
  <c r="AI81" i="2"/>
  <c r="E81" i="2" s="1"/>
  <c r="AI38" i="2"/>
  <c r="AI36" i="2"/>
  <c r="AI79" i="2"/>
  <c r="AI55" i="3"/>
  <c r="AK54" i="6"/>
  <c r="AI54" i="8"/>
  <c r="AI77" i="2"/>
  <c r="AI34" i="2"/>
  <c r="AI32" i="2"/>
  <c r="AI31" i="2"/>
  <c r="AI29" i="2"/>
  <c r="AI75" i="2"/>
  <c r="AI74" i="2"/>
  <c r="AI72" i="2"/>
  <c r="AI28" i="2"/>
  <c r="AI27" i="2"/>
  <c r="AI71" i="2"/>
  <c r="E71" i="2" s="1"/>
  <c r="F29" i="9"/>
  <c r="D11" i="3"/>
  <c r="D10" i="3"/>
  <c r="D9" i="3"/>
  <c r="D6" i="8"/>
  <c r="D60" i="8"/>
  <c r="D59" i="8"/>
  <c r="D58" i="8"/>
  <c r="D57" i="8"/>
  <c r="D56" i="8"/>
  <c r="D55" i="8"/>
  <c r="D54" i="8"/>
  <c r="D53" i="8"/>
  <c r="D52" i="8"/>
  <c r="D51" i="8"/>
  <c r="D50" i="8"/>
  <c r="D49" i="8"/>
  <c r="D48" i="8"/>
  <c r="D47" i="8"/>
  <c r="D46" i="8"/>
  <c r="D45" i="8"/>
  <c r="D44" i="8"/>
  <c r="D43" i="8"/>
  <c r="D42" i="8"/>
  <c r="D41" i="8"/>
  <c r="D40" i="8"/>
  <c r="D39" i="8"/>
  <c r="D38" i="8"/>
  <c r="D37" i="8"/>
  <c r="D36" i="8"/>
  <c r="D35" i="8"/>
  <c r="D34" i="8"/>
  <c r="D33" i="8"/>
  <c r="D32" i="8"/>
  <c r="D31" i="8"/>
  <c r="D30" i="8"/>
  <c r="D29" i="8"/>
  <c r="D28" i="8"/>
  <c r="D27" i="8"/>
  <c r="D26" i="8"/>
  <c r="D25" i="8"/>
  <c r="D24" i="8"/>
  <c r="D23" i="8"/>
  <c r="D22" i="8"/>
  <c r="D21" i="8"/>
  <c r="D20" i="8"/>
  <c r="D19" i="8"/>
  <c r="D18" i="8"/>
  <c r="D17" i="8"/>
  <c r="D16" i="8"/>
  <c r="D15" i="8"/>
  <c r="D14" i="8"/>
  <c r="D13" i="8"/>
  <c r="O72" i="8"/>
  <c r="P72" i="8"/>
  <c r="O73" i="8"/>
  <c r="P73" i="8"/>
  <c r="O74" i="8"/>
  <c r="P74" i="8"/>
  <c r="O75" i="8"/>
  <c r="P75" i="8"/>
  <c r="O76" i="8"/>
  <c r="P76" i="8"/>
  <c r="P74" i="5"/>
  <c r="O76" i="5"/>
  <c r="P76" i="5"/>
  <c r="O75" i="5"/>
  <c r="P75" i="5"/>
  <c r="O74" i="5"/>
  <c r="O72" i="5"/>
  <c r="P72" i="5"/>
  <c r="P73" i="5"/>
  <c r="O73" i="5"/>
  <c r="D60" i="6"/>
  <c r="D59" i="6"/>
  <c r="D58" i="6"/>
  <c r="D57" i="6"/>
  <c r="D56" i="6"/>
  <c r="D55" i="6"/>
  <c r="D54" i="6"/>
  <c r="D53" i="6"/>
  <c r="D52" i="6"/>
  <c r="D51" i="6"/>
  <c r="D50" i="6"/>
  <c r="D49" i="6"/>
  <c r="D48" i="6"/>
  <c r="D47" i="6"/>
  <c r="D46" i="6"/>
  <c r="D45" i="6"/>
  <c r="D44" i="6"/>
  <c r="D43" i="6"/>
  <c r="D42" i="6"/>
  <c r="D41" i="6"/>
  <c r="D40" i="6"/>
  <c r="D39" i="6"/>
  <c r="D38" i="6"/>
  <c r="D37" i="6"/>
  <c r="D36" i="6"/>
  <c r="D35" i="6"/>
  <c r="D34" i="6"/>
  <c r="D33" i="6"/>
  <c r="D32" i="6"/>
  <c r="D31" i="6"/>
  <c r="D30" i="6"/>
  <c r="D29" i="6"/>
  <c r="D28" i="6"/>
  <c r="D27" i="6"/>
  <c r="D26" i="6"/>
  <c r="D25" i="6"/>
  <c r="D24" i="6"/>
  <c r="D23" i="6"/>
  <c r="D22" i="6"/>
  <c r="D21" i="6"/>
  <c r="D20" i="6"/>
  <c r="D19" i="6"/>
  <c r="D18" i="6"/>
  <c r="D17" i="6"/>
  <c r="D16" i="6"/>
  <c r="D15" i="6"/>
  <c r="D14" i="6"/>
  <c r="P73" i="6"/>
  <c r="O75" i="6"/>
  <c r="P75" i="6"/>
  <c r="O74" i="6"/>
  <c r="P74" i="6"/>
  <c r="O73" i="6"/>
  <c r="O71" i="6"/>
  <c r="P71" i="6"/>
  <c r="P72" i="6"/>
  <c r="O72" i="6"/>
  <c r="D20" i="2"/>
  <c r="D19" i="2"/>
  <c r="D18" i="2"/>
  <c r="D17" i="2"/>
  <c r="D16" i="2"/>
  <c r="D14" i="2"/>
  <c r="D13" i="2"/>
  <c r="D12" i="2"/>
  <c r="D11" i="2"/>
  <c r="D10" i="2"/>
  <c r="D9" i="2"/>
  <c r="D8" i="2"/>
  <c r="D61" i="3"/>
  <c r="D60" i="3"/>
  <c r="D59" i="3"/>
  <c r="D58" i="3"/>
  <c r="D57" i="3"/>
  <c r="D56" i="3"/>
  <c r="D55" i="3"/>
  <c r="D54" i="3"/>
  <c r="D53" i="3"/>
  <c r="D52" i="3"/>
  <c r="D51" i="3"/>
  <c r="D50" i="3"/>
  <c r="D49" i="3"/>
  <c r="D48" i="3"/>
  <c r="D47" i="3"/>
  <c r="D46" i="3"/>
  <c r="D45" i="3"/>
  <c r="D44" i="3"/>
  <c r="D43" i="3"/>
  <c r="D42" i="3"/>
  <c r="D41" i="3"/>
  <c r="D40" i="3"/>
  <c r="D39" i="3"/>
  <c r="D38" i="3"/>
  <c r="D37" i="3"/>
  <c r="D36" i="3"/>
  <c r="D35" i="3"/>
  <c r="D34" i="3"/>
  <c r="D33" i="3"/>
  <c r="D32" i="3"/>
  <c r="D31" i="3"/>
  <c r="D30" i="3"/>
  <c r="D29" i="3"/>
  <c r="D28" i="3"/>
  <c r="D27" i="3"/>
  <c r="D26" i="3"/>
  <c r="D25" i="3"/>
  <c r="D24" i="3"/>
  <c r="D23" i="3"/>
  <c r="D22" i="3"/>
  <c r="D21" i="3"/>
  <c r="D20" i="3"/>
  <c r="D19" i="3"/>
  <c r="D18" i="3"/>
  <c r="N74" i="3"/>
  <c r="M76" i="3"/>
  <c r="N76" i="3"/>
  <c r="M75" i="3"/>
  <c r="N75" i="3"/>
  <c r="M74" i="3"/>
  <c r="M72" i="3"/>
  <c r="N72" i="3"/>
  <c r="N73" i="3"/>
  <c r="M73" i="3"/>
  <c r="D60" i="7"/>
  <c r="D59" i="7"/>
  <c r="D58" i="7"/>
  <c r="D57" i="7"/>
  <c r="D56" i="7"/>
  <c r="D55" i="7"/>
  <c r="D54" i="7"/>
  <c r="D53" i="7"/>
  <c r="D52" i="7"/>
  <c r="D51" i="7"/>
  <c r="D50" i="7"/>
  <c r="D49" i="7"/>
  <c r="D48" i="7"/>
  <c r="D47" i="7"/>
  <c r="D46" i="7"/>
  <c r="D45" i="7"/>
  <c r="D44" i="7"/>
  <c r="D43" i="7"/>
  <c r="D42" i="7"/>
  <c r="D41" i="7"/>
  <c r="D40" i="7"/>
  <c r="D39" i="7"/>
  <c r="D38" i="7"/>
  <c r="D37" i="7"/>
  <c r="D36" i="7"/>
  <c r="D35" i="7"/>
  <c r="D34" i="7"/>
  <c r="D33" i="7"/>
  <c r="D32" i="7"/>
  <c r="D31" i="7"/>
  <c r="D30" i="7"/>
  <c r="D29" i="7"/>
  <c r="D28" i="7"/>
  <c r="D27" i="7"/>
  <c r="D26" i="7"/>
  <c r="D25" i="7"/>
  <c r="D24" i="7"/>
  <c r="D23" i="7"/>
  <c r="D22" i="7"/>
  <c r="D21" i="7"/>
  <c r="D20" i="7"/>
  <c r="D19" i="7"/>
  <c r="D18" i="7"/>
  <c r="D17" i="7"/>
  <c r="D16" i="7"/>
  <c r="D15" i="7"/>
  <c r="D14" i="7"/>
  <c r="D13" i="7"/>
  <c r="D6" i="7"/>
  <c r="O72" i="7"/>
  <c r="P72" i="7"/>
  <c r="O73" i="7"/>
  <c r="P73" i="7"/>
  <c r="O74" i="7"/>
  <c r="P74" i="7"/>
  <c r="O75" i="7"/>
  <c r="P75" i="7"/>
  <c r="O76" i="7"/>
  <c r="P76" i="7"/>
  <c r="E79" i="2"/>
  <c r="E77" i="2"/>
  <c r="E80" i="2"/>
  <c r="E83" i="2"/>
  <c r="E75" i="2"/>
  <c r="H6" i="8" l="1"/>
  <c r="J91" i="19"/>
  <c r="J9" i="6"/>
  <c r="J13" i="6"/>
  <c r="J10" i="6"/>
  <c r="J11" i="6"/>
  <c r="J7" i="6"/>
  <c r="J8" i="6"/>
  <c r="J12" i="6"/>
  <c r="H47" i="8"/>
  <c r="H22" i="8"/>
  <c r="J175" i="19"/>
  <c r="J45" i="7"/>
  <c r="J143" i="19"/>
  <c r="D80" i="2"/>
  <c r="D64" i="2"/>
  <c r="H24" i="8"/>
  <c r="H58" i="8"/>
  <c r="E13" i="11"/>
  <c r="H13" i="11"/>
  <c r="K5" i="8"/>
  <c r="E74" i="2"/>
  <c r="H23" i="8"/>
  <c r="E12" i="11"/>
  <c r="H12" i="11"/>
  <c r="J54" i="19"/>
  <c r="J107" i="19"/>
  <c r="K66" i="19"/>
  <c r="J24" i="7"/>
  <c r="E58" i="2"/>
  <c r="H56" i="8"/>
  <c r="J24" i="19"/>
  <c r="J75" i="19"/>
  <c r="H14" i="5"/>
  <c r="H20" i="5"/>
  <c r="H9" i="3"/>
  <c r="H8" i="3"/>
  <c r="D57" i="2"/>
  <c r="D85" i="2"/>
  <c r="D78" i="2"/>
  <c r="E67" i="2"/>
  <c r="D49" i="2"/>
  <c r="E61" i="2"/>
  <c r="J56" i="6"/>
  <c r="D83" i="2"/>
  <c r="D81" i="2"/>
  <c r="D74" i="2"/>
  <c r="D51" i="2"/>
  <c r="F48" i="2"/>
  <c r="D71" i="2"/>
  <c r="H48" i="2"/>
  <c r="H77" i="2" s="1"/>
  <c r="D59" i="2"/>
  <c r="D61" i="2"/>
  <c r="D65" i="2"/>
  <c r="D67" i="2"/>
  <c r="D55" i="2"/>
  <c r="D56" i="2"/>
  <c r="D68" i="2"/>
  <c r="D76" i="2"/>
  <c r="J26" i="6"/>
  <c r="J42" i="6"/>
  <c r="J60" i="6"/>
  <c r="H21" i="2"/>
  <c r="J14" i="6"/>
  <c r="J31" i="6"/>
  <c r="J43" i="6"/>
  <c r="J59" i="6"/>
  <c r="J18" i="6"/>
  <c r="J34" i="6"/>
  <c r="J47" i="6"/>
  <c r="J22" i="6"/>
  <c r="J35" i="6"/>
  <c r="J51" i="6"/>
  <c r="I5" i="2"/>
  <c r="H14" i="8"/>
  <c r="H27" i="8"/>
  <c r="H38" i="8"/>
  <c r="H49" i="8"/>
  <c r="J7" i="19"/>
  <c r="J37" i="19"/>
  <c r="J57" i="19"/>
  <c r="J167" i="19"/>
  <c r="J135" i="19"/>
  <c r="J99" i="19"/>
  <c r="H67" i="19"/>
  <c r="H127" i="19"/>
  <c r="H17" i="8"/>
  <c r="H30" i="8"/>
  <c r="H40" i="8"/>
  <c r="H52" i="8"/>
  <c r="H35" i="5"/>
  <c r="J60" i="7"/>
  <c r="J53" i="19"/>
  <c r="J38" i="19"/>
  <c r="J19" i="19"/>
  <c r="J17" i="19"/>
  <c r="J159" i="19"/>
  <c r="K127" i="19"/>
  <c r="H20" i="8"/>
  <c r="H32" i="8"/>
  <c r="H44" i="8"/>
  <c r="J36" i="19"/>
  <c r="J11" i="19"/>
  <c r="J51" i="19"/>
  <c r="J13" i="19"/>
  <c r="J151" i="19"/>
  <c r="J115" i="19"/>
  <c r="J83" i="19"/>
  <c r="J176" i="19"/>
  <c r="J20" i="7"/>
  <c r="J37" i="7"/>
  <c r="J53" i="7"/>
  <c r="E64" i="2"/>
  <c r="H42" i="8"/>
  <c r="J82" i="19"/>
  <c r="J114" i="19"/>
  <c r="J150" i="19"/>
  <c r="J182" i="19"/>
  <c r="AP63" i="8"/>
  <c r="E63" i="2"/>
  <c r="H6" i="7"/>
  <c r="K5" i="7"/>
  <c r="H54" i="8"/>
  <c r="E57" i="2"/>
  <c r="J25" i="7"/>
  <c r="J41" i="7"/>
  <c r="J57" i="7"/>
  <c r="H16" i="8"/>
  <c r="H21" i="8"/>
  <c r="H28" i="8"/>
  <c r="H34" i="8"/>
  <c r="H39" i="8"/>
  <c r="H45" i="8"/>
  <c r="H51" i="8"/>
  <c r="H57" i="8"/>
  <c r="J32" i="19"/>
  <c r="K5" i="19"/>
  <c r="J8" i="19"/>
  <c r="J33" i="19"/>
  <c r="J43" i="19"/>
  <c r="J48" i="19"/>
  <c r="J181" i="19"/>
  <c r="J165" i="19"/>
  <c r="J149" i="19"/>
  <c r="J133" i="19"/>
  <c r="J113" i="19"/>
  <c r="J97" i="19"/>
  <c r="J81" i="19"/>
  <c r="J31" i="19"/>
  <c r="J90" i="19"/>
  <c r="J158" i="19"/>
  <c r="AQ64" i="8"/>
  <c r="J98" i="19"/>
  <c r="J134" i="19"/>
  <c r="J166" i="19"/>
  <c r="AP62" i="8"/>
  <c r="J17" i="6"/>
  <c r="J27" i="6"/>
  <c r="J39" i="6"/>
  <c r="J50" i="6"/>
  <c r="J16" i="7"/>
  <c r="J33" i="7"/>
  <c r="J49" i="7"/>
  <c r="H13" i="8"/>
  <c r="H18" i="8"/>
  <c r="H26" i="8"/>
  <c r="H31" i="8"/>
  <c r="H36" i="8"/>
  <c r="H43" i="8"/>
  <c r="H48" i="8"/>
  <c r="H53" i="8"/>
  <c r="H60" i="8"/>
  <c r="E62" i="2"/>
  <c r="J49" i="19"/>
  <c r="J18" i="19"/>
  <c r="J30" i="19"/>
  <c r="J50" i="19"/>
  <c r="J15" i="19"/>
  <c r="J16" i="19"/>
  <c r="J58" i="19"/>
  <c r="J173" i="19"/>
  <c r="J157" i="19"/>
  <c r="J141" i="19"/>
  <c r="J121" i="19"/>
  <c r="J105" i="19"/>
  <c r="J89" i="19"/>
  <c r="J73" i="19"/>
  <c r="J35" i="19"/>
  <c r="J74" i="19"/>
  <c r="J106" i="19"/>
  <c r="J142" i="19"/>
  <c r="J174" i="19"/>
  <c r="H8" i="2"/>
  <c r="H25" i="2"/>
  <c r="J13" i="7"/>
  <c r="J17" i="7"/>
  <c r="J21" i="7"/>
  <c r="J26" i="7"/>
  <c r="J30" i="7"/>
  <c r="J34" i="7"/>
  <c r="J38" i="7"/>
  <c r="J42" i="7"/>
  <c r="J46" i="7"/>
  <c r="J50" i="7"/>
  <c r="J54" i="7"/>
  <c r="J58" i="7"/>
  <c r="J72" i="19"/>
  <c r="J80" i="19"/>
  <c r="J88" i="19"/>
  <c r="J96" i="19"/>
  <c r="J104" i="19"/>
  <c r="J112" i="19"/>
  <c r="J120" i="19"/>
  <c r="J132" i="19"/>
  <c r="J140" i="19"/>
  <c r="J148" i="19"/>
  <c r="J156" i="19"/>
  <c r="J164" i="19"/>
  <c r="J172" i="19"/>
  <c r="J180" i="19"/>
  <c r="AP64" i="8"/>
  <c r="H28" i="2"/>
  <c r="H12" i="2"/>
  <c r="H33" i="2"/>
  <c r="J14" i="7"/>
  <c r="J18" i="7"/>
  <c r="J22" i="7"/>
  <c r="J27" i="7"/>
  <c r="J31" i="7"/>
  <c r="J35" i="7"/>
  <c r="J39" i="7"/>
  <c r="J43" i="7"/>
  <c r="J47" i="7"/>
  <c r="J51" i="7"/>
  <c r="J55" i="7"/>
  <c r="J59" i="7"/>
  <c r="J45" i="19"/>
  <c r="J28" i="19"/>
  <c r="J14" i="19"/>
  <c r="J56" i="19"/>
  <c r="J20" i="19"/>
  <c r="J59" i="19"/>
  <c r="J46" i="19"/>
  <c r="J29" i="19"/>
  <c r="J10" i="19"/>
  <c r="J42" i="19"/>
  <c r="H6" i="19"/>
  <c r="J39" i="19"/>
  <c r="J44" i="19"/>
  <c r="J179" i="19"/>
  <c r="J171" i="19"/>
  <c r="J163" i="19"/>
  <c r="J155" i="19"/>
  <c r="J147" i="19"/>
  <c r="J139" i="19"/>
  <c r="J131" i="19"/>
  <c r="J119" i="19"/>
  <c r="J111" i="19"/>
  <c r="J103" i="19"/>
  <c r="J95" i="19"/>
  <c r="J87" i="19"/>
  <c r="J79" i="19"/>
  <c r="J71" i="19"/>
  <c r="J21" i="19"/>
  <c r="J70" i="19"/>
  <c r="J78" i="19"/>
  <c r="J86" i="19"/>
  <c r="J94" i="19"/>
  <c r="J102" i="19"/>
  <c r="J110" i="19"/>
  <c r="J118" i="19"/>
  <c r="J130" i="19"/>
  <c r="J138" i="19"/>
  <c r="J146" i="19"/>
  <c r="J154" i="19"/>
  <c r="J162" i="19"/>
  <c r="J170" i="19"/>
  <c r="J178" i="19"/>
  <c r="AQ63" i="8"/>
  <c r="H17" i="2"/>
  <c r="J15" i="7"/>
  <c r="J19" i="7"/>
  <c r="J23" i="7"/>
  <c r="J28" i="7"/>
  <c r="J32" i="7"/>
  <c r="J36" i="7"/>
  <c r="J40" i="7"/>
  <c r="J44" i="7"/>
  <c r="J48" i="7"/>
  <c r="J52" i="7"/>
  <c r="J56" i="7"/>
  <c r="H15" i="8"/>
  <c r="H19" i="8"/>
  <c r="H25" i="8"/>
  <c r="H29" i="8"/>
  <c r="H33" i="8"/>
  <c r="H37" i="8"/>
  <c r="H41" i="8"/>
  <c r="H46" i="8"/>
  <c r="H50" i="8"/>
  <c r="H55" i="8"/>
  <c r="H59" i="8"/>
  <c r="H37" i="2"/>
  <c r="I6" i="3"/>
  <c r="J40" i="19"/>
  <c r="J27" i="19"/>
  <c r="J9" i="19"/>
  <c r="J47" i="19"/>
  <c r="J12" i="19"/>
  <c r="J55" i="19"/>
  <c r="J41" i="19"/>
  <c r="J23" i="19"/>
  <c r="J60" i="19"/>
  <c r="J34" i="19"/>
  <c r="J52" i="19"/>
  <c r="J26" i="19"/>
  <c r="J25" i="19"/>
  <c r="J177" i="19"/>
  <c r="J169" i="19"/>
  <c r="J161" i="19"/>
  <c r="J153" i="19"/>
  <c r="J145" i="19"/>
  <c r="J137" i="19"/>
  <c r="J129" i="19"/>
  <c r="J117" i="19"/>
  <c r="J109" i="19"/>
  <c r="J101" i="19"/>
  <c r="J93" i="19"/>
  <c r="J85" i="19"/>
  <c r="J77" i="19"/>
  <c r="J69" i="19"/>
  <c r="J68" i="19"/>
  <c r="J76" i="19"/>
  <c r="J84" i="19"/>
  <c r="J92" i="19"/>
  <c r="J100" i="19"/>
  <c r="J108" i="19"/>
  <c r="J116" i="19"/>
  <c r="H128" i="19"/>
  <c r="J136" i="19"/>
  <c r="J144" i="19"/>
  <c r="J152" i="19"/>
  <c r="J160" i="19"/>
  <c r="J168" i="19"/>
  <c r="J57" i="6"/>
  <c r="H44" i="5"/>
  <c r="H22" i="3"/>
  <c r="H66" i="2"/>
  <c r="H14" i="2"/>
  <c r="H22" i="2"/>
  <c r="H35" i="2"/>
  <c r="H53" i="2"/>
  <c r="I48" i="2"/>
  <c r="H27" i="2"/>
  <c r="H31" i="2"/>
  <c r="H10" i="2"/>
  <c r="H15" i="2"/>
  <c r="H19" i="2"/>
  <c r="H23" i="2"/>
  <c r="H29" i="2"/>
  <c r="F6" i="2"/>
  <c r="H36" i="2"/>
  <c r="H34" i="2"/>
  <c r="H9" i="2"/>
  <c r="H18" i="2"/>
  <c r="H26" i="2"/>
  <c r="H32" i="2"/>
  <c r="H38" i="2"/>
  <c r="H13" i="2"/>
  <c r="H11" i="2"/>
  <c r="H16" i="2"/>
  <c r="H20" i="2"/>
  <c r="H24" i="2"/>
  <c r="H30" i="2"/>
  <c r="J21" i="6"/>
  <c r="J30" i="6"/>
  <c r="J38" i="6"/>
  <c r="J46" i="6"/>
  <c r="J55" i="6"/>
  <c r="H52" i="5"/>
  <c r="H18" i="5"/>
  <c r="K5" i="6"/>
  <c r="J16" i="6"/>
  <c r="J20" i="6"/>
  <c r="J25" i="6"/>
  <c r="J29" i="6"/>
  <c r="J33" i="6"/>
  <c r="J37" i="6"/>
  <c r="J41" i="6"/>
  <c r="J45" i="6"/>
  <c r="J49" i="6"/>
  <c r="J53" i="6"/>
  <c r="J58" i="6"/>
  <c r="H6" i="6"/>
  <c r="J54" i="6"/>
  <c r="J24" i="6"/>
  <c r="J15" i="6"/>
  <c r="J19" i="6"/>
  <c r="J23" i="6"/>
  <c r="J28" i="6"/>
  <c r="J32" i="6"/>
  <c r="J36" i="6"/>
  <c r="J40" i="6"/>
  <c r="J44" i="6"/>
  <c r="J48" i="6"/>
  <c r="J52" i="6"/>
  <c r="H27" i="5"/>
  <c r="H61" i="5"/>
  <c r="H57" i="5"/>
  <c r="H43" i="5"/>
  <c r="H29" i="5"/>
  <c r="H37" i="5"/>
  <c r="H46" i="5"/>
  <c r="H54" i="5"/>
  <c r="H16" i="5"/>
  <c r="H24" i="5"/>
  <c r="H33" i="5"/>
  <c r="H41" i="5"/>
  <c r="H50" i="5"/>
  <c r="H59" i="5"/>
  <c r="H60" i="5"/>
  <c r="H25" i="5"/>
  <c r="H22" i="5"/>
  <c r="H31" i="5"/>
  <c r="H39" i="5"/>
  <c r="H48" i="5"/>
  <c r="F7" i="5"/>
  <c r="H55" i="5"/>
  <c r="H15" i="5"/>
  <c r="H19" i="5"/>
  <c r="H23" i="5"/>
  <c r="H28" i="5"/>
  <c r="H32" i="5"/>
  <c r="H36" i="5"/>
  <c r="H40" i="5"/>
  <c r="H45" i="5"/>
  <c r="H49" i="5"/>
  <c r="H53" i="5"/>
  <c r="H58" i="5"/>
  <c r="I6" i="5"/>
  <c r="H17" i="5"/>
  <c r="H21" i="5"/>
  <c r="H26" i="5"/>
  <c r="H30" i="5"/>
  <c r="H34" i="5"/>
  <c r="H38" i="5"/>
  <c r="H42" i="5"/>
  <c r="H47" i="5"/>
  <c r="H51" i="5"/>
  <c r="H56" i="5"/>
  <c r="H43" i="3"/>
  <c r="H56" i="3"/>
  <c r="H38" i="3"/>
  <c r="H59" i="3"/>
  <c r="H10" i="3"/>
  <c r="H26" i="3"/>
  <c r="H60" i="3"/>
  <c r="H14" i="3"/>
  <c r="H30" i="3"/>
  <c r="H47" i="3"/>
  <c r="H42" i="3"/>
  <c r="H55" i="3"/>
  <c r="H18" i="3"/>
  <c r="H34" i="3"/>
  <c r="H51" i="3"/>
  <c r="H15" i="3"/>
  <c r="H23" i="3"/>
  <c r="H31" i="3"/>
  <c r="H39" i="3"/>
  <c r="H44" i="3"/>
  <c r="H52" i="3"/>
  <c r="H61" i="3"/>
  <c r="H12" i="3"/>
  <c r="H16" i="3"/>
  <c r="H20" i="3"/>
  <c r="H24" i="3"/>
  <c r="H28" i="3"/>
  <c r="H32" i="3"/>
  <c r="H36" i="3"/>
  <c r="H40" i="3"/>
  <c r="H45" i="3"/>
  <c r="H49" i="3"/>
  <c r="H53" i="3"/>
  <c r="H58" i="3"/>
  <c r="H11" i="3"/>
  <c r="H19" i="3"/>
  <c r="H27" i="3"/>
  <c r="H35" i="3"/>
  <c r="H48" i="3"/>
  <c r="H57" i="3"/>
  <c r="F7" i="3"/>
  <c r="H13" i="3"/>
  <c r="H17" i="3"/>
  <c r="H21" i="3"/>
  <c r="H25" i="3"/>
  <c r="H29" i="3"/>
  <c r="H33" i="3"/>
  <c r="H37" i="3"/>
  <c r="H41" i="3"/>
  <c r="H46" i="3"/>
  <c r="H50" i="3"/>
  <c r="H54" i="3"/>
  <c r="H67" i="2"/>
  <c r="H73" i="2"/>
  <c r="H76" i="2"/>
  <c r="H60" i="2"/>
  <c r="H81" i="2"/>
  <c r="D79" i="2"/>
  <c r="D62" i="2"/>
  <c r="D77" i="2"/>
  <c r="D60" i="2"/>
  <c r="D70" i="2"/>
  <c r="D52" i="2"/>
  <c r="D72" i="2"/>
  <c r="D54" i="2"/>
  <c r="D63" i="2"/>
  <c r="D84" i="2"/>
  <c r="H63" i="2"/>
  <c r="H50" i="2"/>
  <c r="H56" i="2"/>
  <c r="H84" i="2"/>
  <c r="H64" i="2"/>
  <c r="H74" i="2"/>
  <c r="D75" i="2"/>
  <c r="D53" i="2"/>
  <c r="D73" i="2"/>
  <c r="D82" i="2"/>
  <c r="D66" i="2"/>
  <c r="D69" i="2"/>
  <c r="D58" i="2"/>
  <c r="F143" i="19"/>
  <c r="F25" i="8"/>
  <c r="F37" i="8"/>
  <c r="F49" i="19"/>
  <c r="F24" i="8"/>
  <c r="F36" i="8"/>
  <c r="F13" i="8"/>
  <c r="F78" i="19"/>
  <c r="F27" i="8"/>
  <c r="F17" i="8"/>
  <c r="F58" i="8"/>
  <c r="F51" i="8"/>
  <c r="F137" i="19"/>
  <c r="F75" i="19"/>
  <c r="F92" i="19"/>
  <c r="F158" i="19"/>
  <c r="F16" i="8"/>
  <c r="F35" i="8"/>
  <c r="F15" i="8"/>
  <c r="F54" i="19"/>
  <c r="F23" i="19"/>
  <c r="F47" i="19"/>
  <c r="F76" i="19"/>
  <c r="F111" i="19"/>
  <c r="F95" i="19"/>
  <c r="F152" i="19"/>
  <c r="F142" i="19"/>
  <c r="F83" i="19"/>
  <c r="F60" i="8"/>
  <c r="F33" i="8"/>
  <c r="F34" i="8"/>
  <c r="F29" i="8"/>
  <c r="F43" i="19"/>
  <c r="F32" i="19"/>
  <c r="F11" i="19"/>
  <c r="F110" i="19"/>
  <c r="F169" i="19"/>
  <c r="F171" i="19"/>
  <c r="F97" i="19"/>
  <c r="F101" i="19"/>
  <c r="F156" i="19"/>
  <c r="F43" i="8"/>
  <c r="F21" i="8"/>
  <c r="F40" i="8"/>
  <c r="F38" i="8"/>
  <c r="F20" i="8"/>
  <c r="F22" i="8"/>
  <c r="F31" i="8"/>
  <c r="F57" i="8"/>
  <c r="F19" i="8"/>
  <c r="F44" i="8"/>
  <c r="F30" i="8"/>
  <c r="F47" i="8"/>
  <c r="F54" i="8"/>
  <c r="F52" i="8"/>
  <c r="F14" i="8"/>
  <c r="F50" i="8"/>
  <c r="F18" i="8"/>
  <c r="F55" i="8"/>
  <c r="F28" i="8"/>
  <c r="F53" i="8"/>
  <c r="F42" i="8"/>
  <c r="F49" i="8"/>
  <c r="F46" i="8"/>
  <c r="F26" i="8"/>
  <c r="F23" i="8"/>
  <c r="F39" i="8"/>
  <c r="F48" i="8"/>
  <c r="F45" i="8"/>
  <c r="F59" i="8"/>
  <c r="F56" i="8"/>
  <c r="F32" i="8"/>
  <c r="F20" i="19"/>
  <c r="F40" i="19"/>
  <c r="F15" i="19"/>
  <c r="F108" i="19"/>
  <c r="F94" i="19"/>
  <c r="F153" i="19"/>
  <c r="F147" i="19"/>
  <c r="F174" i="19"/>
  <c r="F179" i="19"/>
  <c r="F57" i="19"/>
  <c r="F117" i="19"/>
  <c r="F168" i="19"/>
  <c r="F91" i="19"/>
  <c r="F151" i="19"/>
  <c r="F77" i="19"/>
  <c r="F109" i="19"/>
  <c r="F146" i="19"/>
  <c r="F162" i="19"/>
  <c r="F178" i="19"/>
  <c r="F132" i="19"/>
  <c r="F160" i="19"/>
  <c r="F107" i="19"/>
  <c r="F159" i="19"/>
  <c r="F71" i="19"/>
  <c r="F103" i="19"/>
  <c r="F141" i="19"/>
  <c r="F157" i="19"/>
  <c r="F173" i="19"/>
  <c r="F115" i="19"/>
  <c r="F82" i="19"/>
  <c r="F98" i="19"/>
  <c r="F114" i="19"/>
  <c r="F80" i="19"/>
  <c r="F96" i="19"/>
  <c r="F112" i="19"/>
  <c r="F12" i="19"/>
  <c r="F56" i="19"/>
  <c r="F18" i="19"/>
  <c r="F27" i="19"/>
  <c r="F58" i="19"/>
  <c r="F24" i="19"/>
  <c r="F51" i="19"/>
  <c r="F29" i="19"/>
  <c r="F41" i="19"/>
  <c r="F55" i="19"/>
  <c r="F17" i="19"/>
  <c r="F25" i="19"/>
  <c r="F31" i="19"/>
  <c r="F39" i="19"/>
  <c r="F48" i="19"/>
  <c r="F73" i="19"/>
  <c r="F140" i="19"/>
  <c r="F172" i="19"/>
  <c r="F99" i="19"/>
  <c r="F155" i="19"/>
  <c r="F85" i="19"/>
  <c r="F134" i="19"/>
  <c r="F150" i="19"/>
  <c r="F166" i="19"/>
  <c r="F182" i="19"/>
  <c r="F136" i="19"/>
  <c r="F164" i="19"/>
  <c r="F121" i="19"/>
  <c r="F163" i="19"/>
  <c r="F79" i="19"/>
  <c r="F113" i="19"/>
  <c r="F145" i="19"/>
  <c r="F161" i="19"/>
  <c r="F177" i="19"/>
  <c r="F119" i="19"/>
  <c r="F86" i="19"/>
  <c r="F102" i="19"/>
  <c r="F118" i="19"/>
  <c r="F84" i="19"/>
  <c r="F100" i="19"/>
  <c r="F116" i="19"/>
  <c r="F30" i="19"/>
  <c r="F60" i="19"/>
  <c r="F28" i="19"/>
  <c r="F36" i="19"/>
  <c r="F45" i="19"/>
  <c r="F53" i="19"/>
  <c r="F34" i="19"/>
  <c r="F19" i="19"/>
  <c r="F46" i="19"/>
  <c r="F26" i="19"/>
  <c r="F89" i="19"/>
  <c r="F148" i="19"/>
  <c r="F176" i="19"/>
  <c r="F135" i="19"/>
  <c r="F175" i="19"/>
  <c r="F93" i="19"/>
  <c r="F138" i="19"/>
  <c r="F154" i="19"/>
  <c r="F170" i="19"/>
  <c r="F81" i="19"/>
  <c r="F144" i="19"/>
  <c r="F180" i="19"/>
  <c r="F139" i="19"/>
  <c r="F167" i="19"/>
  <c r="F87" i="19"/>
  <c r="F133" i="19"/>
  <c r="F149" i="19"/>
  <c r="F165" i="19"/>
  <c r="F181" i="19"/>
  <c r="F74" i="19"/>
  <c r="F90" i="19"/>
  <c r="F106" i="19"/>
  <c r="F72" i="19"/>
  <c r="F88" i="19"/>
  <c r="F104" i="19"/>
  <c r="F120" i="19"/>
  <c r="F38" i="19"/>
  <c r="F33" i="19"/>
  <c r="F50" i="19"/>
  <c r="F14" i="19"/>
  <c r="F22" i="19"/>
  <c r="F16" i="19"/>
  <c r="F42" i="19"/>
  <c r="F10" i="19"/>
  <c r="F37" i="19"/>
  <c r="F59" i="19"/>
  <c r="F13" i="19"/>
  <c r="F21" i="19"/>
  <c r="F35" i="19"/>
  <c r="F44" i="19"/>
  <c r="F52" i="19"/>
  <c r="H79" i="2" l="1"/>
  <c r="H85" i="2"/>
  <c r="H72" i="2"/>
  <c r="H61" i="2"/>
  <c r="H55" i="2"/>
  <c r="H70" i="2"/>
  <c r="H71" i="2"/>
  <c r="H59" i="2"/>
  <c r="H83" i="2"/>
  <c r="H68" i="2"/>
  <c r="H57" i="2"/>
  <c r="H58" i="2"/>
  <c r="F49" i="2"/>
  <c r="H52" i="2"/>
  <c r="H82" i="2"/>
  <c r="H51" i="2"/>
  <c r="H65" i="2"/>
  <c r="H78" i="2"/>
  <c r="H69" i="2"/>
  <c r="H62" i="2"/>
  <c r="H75" i="2"/>
  <c r="H54" i="2"/>
  <c r="H80"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三重県</author>
  </authors>
  <commentList>
    <comment ref="AL73" authorId="0" shapeId="0" xr:uid="{00000000-0006-0000-0400-000001000000}">
      <text>
        <r>
          <rPr>
            <b/>
            <sz val="9"/>
            <color indexed="81"/>
            <rFont val="ＭＳ Ｐゴシック"/>
            <family val="3"/>
            <charset val="128"/>
          </rPr>
          <t>ダニサラバ散布</t>
        </r>
      </text>
    </comment>
    <comment ref="AI76" authorId="0" shapeId="0" xr:uid="{00000000-0006-0000-0400-000002000000}">
      <text>
        <r>
          <rPr>
            <b/>
            <sz val="9"/>
            <color indexed="81"/>
            <rFont val="ＭＳ Ｐゴシック"/>
            <family val="3"/>
            <charset val="128"/>
          </rPr>
          <t>ハダニ剤処理（ミルベ）</t>
        </r>
      </text>
    </comment>
    <comment ref="AI77" authorId="0" shapeId="0" xr:uid="{00000000-0006-0000-0400-000003000000}">
      <text>
        <r>
          <rPr>
            <b/>
            <sz val="9"/>
            <color indexed="81"/>
            <rFont val="ＭＳ Ｐゴシック"/>
            <family val="3"/>
            <charset val="128"/>
          </rPr>
          <t>10/8 台風通過</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Setup</author>
  </authors>
  <commentList>
    <comment ref="AJ6" authorId="0" shapeId="0" xr:uid="{00000000-0006-0000-0800-000001000000}">
      <text>
        <r>
          <rPr>
            <b/>
            <sz val="9"/>
            <color indexed="81"/>
            <rFont val="MS P ゴシック"/>
            <family val="3"/>
            <charset val="128"/>
          </rPr>
          <t>Setup:</t>
        </r>
        <r>
          <rPr>
            <sz val="9"/>
            <color indexed="81"/>
            <rFont val="MS P ゴシック"/>
            <family val="3"/>
            <charset val="128"/>
          </rPr>
          <t xml:space="preserve">
2015年と2016年だけ
９つ右のコカクモンASのシートから列ごとcopy</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tc={2F8012D6-9597-4A9E-878A-DFE16E12AF72}</author>
    <author>tc={68571D92-E6D1-4D72-92BB-BB47ACD0C89A}</author>
    <author>tc={C599885C-4FAF-4715-A32A-21C81C4272DD}</author>
  </authors>
  <commentList>
    <comment ref="G144" authorId="0" shapeId="0" xr:uid="{2F8012D6-9597-4A9E-878A-DFE16E12AF72}">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トラップ４は１日設置日数が短い</t>
      </text>
    </comment>
    <comment ref="K144" authorId="1" shapeId="0" xr:uid="{68571D92-E6D1-4D72-92BB-BB47ACD0C89A}">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トラップ４は設置日数が1日少ない</t>
      </text>
    </comment>
    <comment ref="O144" authorId="2" shapeId="0" xr:uid="{C599885C-4FAF-4715-A32A-21C81C4272DD}">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トラップ４は設置忘れのため１日少ない</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Setup</author>
  </authors>
  <commentList>
    <comment ref="I82" authorId="0" shapeId="0" xr:uid="{BD66301A-A78D-4EEE-BDAE-3891ADA7D7F2}">
      <text>
        <r>
          <rPr>
            <sz val="9"/>
            <color indexed="81"/>
            <rFont val="MS P ゴシック"/>
            <family val="3"/>
            <charset val="128"/>
          </rPr>
          <t>5/16と5/19の半数ふ化卵塊率を踏まえると、5/18には50%に到達していたと思われる。</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Setup</author>
  </authors>
  <commentList>
    <comment ref="A83" authorId="0" shapeId="0" xr:uid="{BFDC6414-E75B-406C-9B87-D460B3A61260}">
      <text>
        <r>
          <rPr>
            <sz val="9"/>
            <color indexed="81"/>
            <rFont val="MS P ゴシック"/>
            <family val="3"/>
            <charset val="128"/>
          </rPr>
          <t>2017年データが無いため、しばらくの間、10年平均が出せない。
2028から10年平均（2018～2027）にできる予定。</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mieken</author>
    <author>三重県</author>
  </authors>
  <commentList>
    <comment ref="AO26" authorId="0" shapeId="0" xr:uid="{00000000-0006-0000-1100-000001000000}">
      <text>
        <r>
          <rPr>
            <b/>
            <sz val="9"/>
            <color indexed="81"/>
            <rFont val="ＭＳ Ｐゴシック"/>
            <family val="3"/>
            <charset val="128"/>
          </rPr>
          <t>6/10 ウララ</t>
        </r>
      </text>
    </comment>
    <comment ref="AL28" authorId="1" shapeId="0" xr:uid="{00000000-0006-0000-1100-000002000000}">
      <text>
        <r>
          <rPr>
            <b/>
            <sz val="9"/>
            <color indexed="81"/>
            <rFont val="ＭＳ Ｐゴシック"/>
            <family val="3"/>
            <charset val="128"/>
          </rPr>
          <t>台風通過(6/19)</t>
        </r>
      </text>
    </comment>
    <comment ref="AM28" authorId="0" shapeId="0" xr:uid="{00000000-0006-0000-1100-000003000000}">
      <text>
        <r>
          <rPr>
            <b/>
            <sz val="9"/>
            <color indexed="81"/>
            <rFont val="ＭＳ Ｐゴシック"/>
            <family val="3"/>
            <charset val="128"/>
          </rPr>
          <t>モスピランSL　ディアナSC</t>
        </r>
      </text>
    </comment>
    <comment ref="AO30" authorId="0" shapeId="0" xr:uid="{00000000-0006-0000-1100-000004000000}">
      <text>
        <r>
          <rPr>
            <b/>
            <sz val="9"/>
            <color indexed="81"/>
            <rFont val="ＭＳ Ｐゴシック"/>
            <family val="3"/>
            <charset val="128"/>
          </rPr>
          <t>6/29　二番茶摘採</t>
        </r>
      </text>
    </comment>
    <comment ref="AM35" authorId="0" shapeId="0" xr:uid="{00000000-0006-0000-1100-000005000000}">
      <text>
        <r>
          <rPr>
            <b/>
            <sz val="9"/>
            <color indexed="81"/>
            <rFont val="ＭＳ Ｐゴシック"/>
            <family val="3"/>
            <charset val="128"/>
          </rPr>
          <t>コルト　7/23</t>
        </r>
      </text>
    </comment>
    <comment ref="AO36" authorId="0" shapeId="0" xr:uid="{00000000-0006-0000-1100-000006000000}">
      <text>
        <r>
          <rPr>
            <sz val="9"/>
            <color indexed="81"/>
            <rFont val="ＭＳ Ｐゴシック"/>
            <family val="3"/>
            <charset val="128"/>
          </rPr>
          <t>７/２４　コルト</t>
        </r>
      </text>
    </comment>
    <comment ref="AJ44" authorId="1" shapeId="0" xr:uid="{00000000-0006-0000-1100-000007000000}">
      <text>
        <r>
          <rPr>
            <b/>
            <sz val="9"/>
            <color indexed="81"/>
            <rFont val="ＭＳ Ｐゴシック"/>
            <family val="3"/>
            <charset val="128"/>
          </rPr>
          <t>ウララ防除</t>
        </r>
      </text>
    </comment>
    <comment ref="AI50" authorId="1" shapeId="0" xr:uid="{00000000-0006-0000-1100-000008000000}">
      <text>
        <r>
          <rPr>
            <b/>
            <sz val="9"/>
            <color indexed="81"/>
            <rFont val="ＭＳ Ｐゴシック"/>
            <family val="3"/>
            <charset val="128"/>
          </rPr>
          <t>台風通過(10/8)</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mieken</author>
    <author>三重県</author>
  </authors>
  <commentList>
    <comment ref="AO26" authorId="0" shapeId="0" xr:uid="{00000000-0006-0000-1200-000001000000}">
      <text>
        <r>
          <rPr>
            <b/>
            <sz val="9"/>
            <color indexed="81"/>
            <rFont val="ＭＳ Ｐゴシック"/>
            <family val="3"/>
            <charset val="128"/>
          </rPr>
          <t>6/10　ウララ</t>
        </r>
      </text>
    </comment>
    <comment ref="AO30" authorId="0" shapeId="0" xr:uid="{00000000-0006-0000-1200-000002000000}">
      <text>
        <r>
          <rPr>
            <b/>
            <sz val="9"/>
            <color indexed="81"/>
            <rFont val="ＭＳ Ｐゴシック"/>
            <family val="3"/>
            <charset val="128"/>
          </rPr>
          <t>6/29　二番茶摘採</t>
        </r>
      </text>
    </comment>
    <comment ref="AO36" authorId="0" shapeId="0" xr:uid="{00000000-0006-0000-1200-000003000000}">
      <text>
        <r>
          <rPr>
            <b/>
            <sz val="9"/>
            <color indexed="81"/>
            <rFont val="ＭＳ Ｐゴシック"/>
            <family val="3"/>
            <charset val="128"/>
          </rPr>
          <t>７/２４　コルト</t>
        </r>
      </text>
    </comment>
    <comment ref="AL42" authorId="1" shapeId="0" xr:uid="{00000000-0006-0000-1200-000004000000}">
      <text>
        <r>
          <rPr>
            <b/>
            <sz val="9"/>
            <color indexed="81"/>
            <rFont val="ＭＳ Ｐゴシック"/>
            <family val="3"/>
            <charset val="128"/>
          </rPr>
          <t>コルト顆粒水和散布</t>
        </r>
      </text>
    </comment>
    <comment ref="AM42" authorId="1" shapeId="0" xr:uid="{00000000-0006-0000-1200-000005000000}">
      <text>
        <r>
          <rPr>
            <b/>
            <sz val="9"/>
            <color indexed="81"/>
            <rFont val="ＭＳ Ｐゴシック"/>
            <family val="3"/>
            <charset val="128"/>
          </rPr>
          <t>コルト顆粒水和散布</t>
        </r>
      </text>
    </comment>
    <comment ref="AJ44" authorId="1" shapeId="0" xr:uid="{00000000-0006-0000-1200-000006000000}">
      <text>
        <r>
          <rPr>
            <b/>
            <sz val="9"/>
            <color indexed="81"/>
            <rFont val="ＭＳ Ｐゴシック"/>
            <family val="3"/>
            <charset val="128"/>
          </rPr>
          <t>ウララ　防除</t>
        </r>
      </text>
    </comment>
  </commentList>
</comments>
</file>

<file path=xl/sharedStrings.xml><?xml version="1.0" encoding="utf-8"?>
<sst xmlns="http://schemas.openxmlformats.org/spreadsheetml/2006/main" count="5130" uniqueCount="551">
  <si>
    <t>－</t>
  </si>
  <si>
    <t>チャノホソガ　フェロモントラップ誘殺数</t>
  </si>
  <si>
    <t>１半旬</t>
  </si>
  <si>
    <t>２半旬</t>
  </si>
  <si>
    <t>４月</t>
  </si>
  <si>
    <t>３半旬</t>
  </si>
  <si>
    <t>４半旬</t>
  </si>
  <si>
    <t>５半旬</t>
  </si>
  <si>
    <t>６半旬</t>
  </si>
  <si>
    <t>６月</t>
  </si>
  <si>
    <t>７月</t>
  </si>
  <si>
    <t>８月</t>
  </si>
  <si>
    <t>９月</t>
  </si>
  <si>
    <t>１０月</t>
  </si>
  <si>
    <t>１１月</t>
  </si>
  <si>
    <t>S62年</t>
    <rPh sb="3" eb="4">
      <t>ネン</t>
    </rPh>
    <phoneticPr fontId="2"/>
  </si>
  <si>
    <t>S63年</t>
    <rPh sb="3" eb="4">
      <t>ネン</t>
    </rPh>
    <phoneticPr fontId="2"/>
  </si>
  <si>
    <t>H元年</t>
    <rPh sb="1" eb="3">
      <t>ガンネン</t>
    </rPh>
    <phoneticPr fontId="2"/>
  </si>
  <si>
    <t>H2年</t>
    <rPh sb="2" eb="3">
      <t>ネン</t>
    </rPh>
    <phoneticPr fontId="2"/>
  </si>
  <si>
    <t>H3年</t>
    <rPh sb="2" eb="3">
      <t>ネン</t>
    </rPh>
    <phoneticPr fontId="2"/>
  </si>
  <si>
    <t>H4年</t>
    <rPh sb="2" eb="3">
      <t>ネン</t>
    </rPh>
    <phoneticPr fontId="2"/>
  </si>
  <si>
    <t>H5年</t>
    <rPh sb="2" eb="3">
      <t>ネン</t>
    </rPh>
    <phoneticPr fontId="2"/>
  </si>
  <si>
    <t>H6年</t>
    <rPh sb="2" eb="3">
      <t>ネン</t>
    </rPh>
    <phoneticPr fontId="2"/>
  </si>
  <si>
    <t>H7年</t>
    <rPh sb="2" eb="3">
      <t>ネン</t>
    </rPh>
    <phoneticPr fontId="2"/>
  </si>
  <si>
    <t>H8年</t>
    <rPh sb="2" eb="3">
      <t>ネン</t>
    </rPh>
    <phoneticPr fontId="2"/>
  </si>
  <si>
    <t>H9年</t>
    <rPh sb="2" eb="3">
      <t>ネン</t>
    </rPh>
    <phoneticPr fontId="2"/>
  </si>
  <si>
    <t>H10年</t>
    <rPh sb="3" eb="4">
      <t>ネン</t>
    </rPh>
    <phoneticPr fontId="2"/>
  </si>
  <si>
    <t>H11年</t>
    <rPh sb="3" eb="4">
      <t>ネン</t>
    </rPh>
    <phoneticPr fontId="2"/>
  </si>
  <si>
    <t>H12年</t>
    <rPh sb="3" eb="4">
      <t>ネン</t>
    </rPh>
    <phoneticPr fontId="2"/>
  </si>
  <si>
    <t>H13年</t>
    <rPh sb="3" eb="4">
      <t>ネン</t>
    </rPh>
    <phoneticPr fontId="2"/>
  </si>
  <si>
    <t>H14年</t>
    <rPh sb="3" eb="4">
      <t>ネン</t>
    </rPh>
    <phoneticPr fontId="2"/>
  </si>
  <si>
    <t>H15年</t>
    <rPh sb="3" eb="4">
      <t>ネン</t>
    </rPh>
    <phoneticPr fontId="2"/>
  </si>
  <si>
    <t>H16年</t>
    <rPh sb="3" eb="4">
      <t>ネン</t>
    </rPh>
    <phoneticPr fontId="2"/>
  </si>
  <si>
    <t>H17年</t>
    <rPh sb="3" eb="4">
      <t>ネン</t>
    </rPh>
    <phoneticPr fontId="2"/>
  </si>
  <si>
    <t>H18年</t>
    <rPh sb="3" eb="4">
      <t>ネン</t>
    </rPh>
    <phoneticPr fontId="2"/>
  </si>
  <si>
    <t>H19年</t>
    <rPh sb="3" eb="4">
      <t>ネン</t>
    </rPh>
    <phoneticPr fontId="2"/>
  </si>
  <si>
    <t>H20年</t>
    <rPh sb="3" eb="4">
      <t>ネン</t>
    </rPh>
    <phoneticPr fontId="2"/>
  </si>
  <si>
    <t>H21年</t>
    <rPh sb="3" eb="4">
      <t>ネン</t>
    </rPh>
    <phoneticPr fontId="2"/>
  </si>
  <si>
    <t>H22年</t>
    <rPh sb="3" eb="4">
      <t>ネン</t>
    </rPh>
    <phoneticPr fontId="2"/>
  </si>
  <si>
    <t>５月</t>
    <rPh sb="1" eb="2">
      <t>ガツ</t>
    </rPh>
    <phoneticPr fontId="2"/>
  </si>
  <si>
    <t>～</t>
    <phoneticPr fontId="2"/>
  </si>
  <si>
    <t>平年（過去10ヶ年）</t>
    <rPh sb="0" eb="2">
      <t>ヘイネン</t>
    </rPh>
    <rPh sb="7" eb="9">
      <t>カネン</t>
    </rPh>
    <phoneticPr fontId="2"/>
  </si>
  <si>
    <t>単年値</t>
    <rPh sb="0" eb="1">
      <t>タン</t>
    </rPh>
    <rPh sb="1" eb="2">
      <t>ネン</t>
    </rPh>
    <rPh sb="2" eb="3">
      <t>チ</t>
    </rPh>
    <phoneticPr fontId="2"/>
  </si>
  <si>
    <t>複数年平均値</t>
    <rPh sb="0" eb="2">
      <t>フクスウ</t>
    </rPh>
    <rPh sb="2" eb="5">
      <t>ネンヘイキン</t>
    </rPh>
    <rPh sb="5" eb="6">
      <t>チ</t>
    </rPh>
    <phoneticPr fontId="2"/>
  </si>
  <si>
    <t>平年値</t>
    <rPh sb="0" eb="3">
      <t>ヘイネンチ</t>
    </rPh>
    <phoneticPr fontId="2"/>
  </si>
  <si>
    <t>二番茶</t>
    <rPh sb="0" eb="1">
      <t>ニ</t>
    </rPh>
    <rPh sb="1" eb="3">
      <t>バンチャ</t>
    </rPh>
    <phoneticPr fontId="2"/>
  </si>
  <si>
    <t>平年値</t>
  </si>
  <si>
    <t>複数年平均値</t>
  </si>
  <si>
    <t>単年値</t>
  </si>
  <si>
    <t>～</t>
  </si>
  <si>
    <t>H元年</t>
  </si>
  <si>
    <t>H2年</t>
  </si>
  <si>
    <t>H3年</t>
  </si>
  <si>
    <t>H4年</t>
  </si>
  <si>
    <t>H5年</t>
  </si>
  <si>
    <t>H6年</t>
  </si>
  <si>
    <t>H7年</t>
  </si>
  <si>
    <t>H8年</t>
  </si>
  <si>
    <t>H9年</t>
  </si>
  <si>
    <t>H10年</t>
  </si>
  <si>
    <t>H11年</t>
  </si>
  <si>
    <t>H12年</t>
  </si>
  <si>
    <t>H13年</t>
  </si>
  <si>
    <t>H14年</t>
  </si>
  <si>
    <t>H15年</t>
  </si>
  <si>
    <t>H16年</t>
  </si>
  <si>
    <t>H17年</t>
  </si>
  <si>
    <t>H18年</t>
  </si>
  <si>
    <t>H19年</t>
  </si>
  <si>
    <t>H20年</t>
  </si>
  <si>
    <t>H21年</t>
  </si>
  <si>
    <t>H22年</t>
  </si>
  <si>
    <t>５月</t>
  </si>
  <si>
    <t>H12年</t>
    <phoneticPr fontId="2"/>
  </si>
  <si>
    <t>チャノキイロアザミウマ　吸引粘着トラップ捕殺数</t>
    <phoneticPr fontId="2"/>
  </si>
  <si>
    <t>一番茶</t>
    <rPh sb="0" eb="1">
      <t>イチ</t>
    </rPh>
    <rPh sb="1" eb="3">
      <t>バンチャ</t>
    </rPh>
    <phoneticPr fontId="2"/>
  </si>
  <si>
    <t>三番茶</t>
    <rPh sb="0" eb="1">
      <t>サン</t>
    </rPh>
    <rPh sb="1" eb="3">
      <t>バンチャ</t>
    </rPh>
    <phoneticPr fontId="2"/>
  </si>
  <si>
    <t>秋番茶</t>
    <rPh sb="0" eb="1">
      <t>アキ</t>
    </rPh>
    <rPh sb="1" eb="3">
      <t>バンチャ</t>
    </rPh>
    <phoneticPr fontId="2"/>
  </si>
  <si>
    <t>一番茶</t>
    <rPh sb="0" eb="1">
      <t>イチ</t>
    </rPh>
    <rPh sb="1" eb="3">
      <t>バンチャ</t>
    </rPh>
    <phoneticPr fontId="2"/>
  </si>
  <si>
    <t>三番茶</t>
    <rPh sb="0" eb="1">
      <t>サン</t>
    </rPh>
    <rPh sb="1" eb="3">
      <t>バンチャ</t>
    </rPh>
    <phoneticPr fontId="2"/>
  </si>
  <si>
    <t>秋番茶</t>
    <rPh sb="0" eb="1">
      <t>アキ</t>
    </rPh>
    <rPh sb="1" eb="3">
      <t>バンチャ</t>
    </rPh>
    <phoneticPr fontId="2"/>
  </si>
  <si>
    <t>１９８７年</t>
    <rPh sb="4" eb="5">
      <t>ネン</t>
    </rPh>
    <phoneticPr fontId="2"/>
  </si>
  <si>
    <t>Ｓ６２年</t>
    <rPh sb="3" eb="4">
      <t>ネン</t>
    </rPh>
    <phoneticPr fontId="2"/>
  </si>
  <si>
    <t>１９８８年</t>
    <rPh sb="4" eb="5">
      <t>ネン</t>
    </rPh>
    <phoneticPr fontId="2"/>
  </si>
  <si>
    <t>Ｓ６３年</t>
    <rPh sb="3" eb="4">
      <t>ネン</t>
    </rPh>
    <phoneticPr fontId="2"/>
  </si>
  <si>
    <t>１９８９年</t>
    <rPh sb="4" eb="5">
      <t>ネン</t>
    </rPh>
    <phoneticPr fontId="2"/>
  </si>
  <si>
    <t>Ｈ１年</t>
    <rPh sb="2" eb="3">
      <t>ネン</t>
    </rPh>
    <phoneticPr fontId="2"/>
  </si>
  <si>
    <t>１９９０年</t>
    <rPh sb="4" eb="5">
      <t>ネン</t>
    </rPh>
    <phoneticPr fontId="2"/>
  </si>
  <si>
    <t>Ｈ２年</t>
    <rPh sb="2" eb="3">
      <t>ネン</t>
    </rPh>
    <phoneticPr fontId="2"/>
  </si>
  <si>
    <t>１９９１年</t>
    <rPh sb="4" eb="5">
      <t>ネン</t>
    </rPh>
    <phoneticPr fontId="2"/>
  </si>
  <si>
    <t>Ｈ３年</t>
    <rPh sb="2" eb="3">
      <t>ネン</t>
    </rPh>
    <phoneticPr fontId="2"/>
  </si>
  <si>
    <t>１９９２年</t>
    <rPh sb="4" eb="5">
      <t>ネン</t>
    </rPh>
    <phoneticPr fontId="2"/>
  </si>
  <si>
    <t>Ｈ４年</t>
    <rPh sb="2" eb="3">
      <t>ネン</t>
    </rPh>
    <phoneticPr fontId="2"/>
  </si>
  <si>
    <t>１９９３年</t>
    <rPh sb="4" eb="5">
      <t>ネン</t>
    </rPh>
    <phoneticPr fontId="2"/>
  </si>
  <si>
    <t>Ｈ５年</t>
    <rPh sb="2" eb="3">
      <t>ネン</t>
    </rPh>
    <phoneticPr fontId="2"/>
  </si>
  <si>
    <t>１９９４年</t>
    <rPh sb="4" eb="5">
      <t>ネン</t>
    </rPh>
    <phoneticPr fontId="2"/>
  </si>
  <si>
    <t>Ｈ６年</t>
    <rPh sb="2" eb="3">
      <t>ネン</t>
    </rPh>
    <phoneticPr fontId="2"/>
  </si>
  <si>
    <t>１９９５年</t>
    <rPh sb="4" eb="5">
      <t>ネン</t>
    </rPh>
    <phoneticPr fontId="2"/>
  </si>
  <si>
    <t>Ｈ７年</t>
    <rPh sb="2" eb="3">
      <t>ネン</t>
    </rPh>
    <phoneticPr fontId="2"/>
  </si>
  <si>
    <t>１９９６年</t>
    <rPh sb="4" eb="5">
      <t>ネン</t>
    </rPh>
    <phoneticPr fontId="2"/>
  </si>
  <si>
    <t>Ｈ８年</t>
    <rPh sb="2" eb="3">
      <t>ネン</t>
    </rPh>
    <phoneticPr fontId="2"/>
  </si>
  <si>
    <t>１９９７年</t>
    <rPh sb="4" eb="5">
      <t>ネン</t>
    </rPh>
    <phoneticPr fontId="2"/>
  </si>
  <si>
    <t>Ｈ９年</t>
    <rPh sb="2" eb="3">
      <t>ネン</t>
    </rPh>
    <phoneticPr fontId="2"/>
  </si>
  <si>
    <t>１９９８年</t>
    <rPh sb="4" eb="5">
      <t>ネン</t>
    </rPh>
    <phoneticPr fontId="2"/>
  </si>
  <si>
    <t>Ｈ１０年</t>
    <rPh sb="3" eb="4">
      <t>ネン</t>
    </rPh>
    <phoneticPr fontId="2"/>
  </si>
  <si>
    <t>１９９９年</t>
    <rPh sb="4" eb="5">
      <t>ネン</t>
    </rPh>
    <phoneticPr fontId="2"/>
  </si>
  <si>
    <t>Ｈ１１年</t>
    <rPh sb="3" eb="4">
      <t>ネン</t>
    </rPh>
    <phoneticPr fontId="2"/>
  </si>
  <si>
    <t>２０００年</t>
    <rPh sb="4" eb="5">
      <t>ネン</t>
    </rPh>
    <phoneticPr fontId="2"/>
  </si>
  <si>
    <t>Ｈ１２年</t>
    <rPh sb="3" eb="4">
      <t>ネン</t>
    </rPh>
    <phoneticPr fontId="2"/>
  </si>
  <si>
    <t>２００１年</t>
    <rPh sb="4" eb="5">
      <t>ネン</t>
    </rPh>
    <phoneticPr fontId="2"/>
  </si>
  <si>
    <t>Ｈ１３年</t>
    <rPh sb="3" eb="4">
      <t>ネン</t>
    </rPh>
    <phoneticPr fontId="2"/>
  </si>
  <si>
    <t>炭そ病　茶期別発病葉数（枚／㎡）</t>
    <rPh sb="0" eb="1">
      <t>タン</t>
    </rPh>
    <rPh sb="2" eb="3">
      <t>ビョウ</t>
    </rPh>
    <rPh sb="4" eb="6">
      <t>チャキ</t>
    </rPh>
    <rPh sb="6" eb="7">
      <t>ベツ</t>
    </rPh>
    <rPh sb="7" eb="9">
      <t>ハツビョウ</t>
    </rPh>
    <rPh sb="9" eb="10">
      <t>ヨウ</t>
    </rPh>
    <rPh sb="10" eb="11">
      <t>スウ</t>
    </rPh>
    <rPh sb="12" eb="13">
      <t>マイ</t>
    </rPh>
    <phoneticPr fontId="2"/>
  </si>
  <si>
    <t>輪斑病　茶期別発病葉数（枚／㎡）</t>
    <rPh sb="0" eb="1">
      <t>リン</t>
    </rPh>
    <rPh sb="1" eb="2">
      <t>ハン</t>
    </rPh>
    <rPh sb="2" eb="3">
      <t>ビョウ</t>
    </rPh>
    <rPh sb="4" eb="6">
      <t>チャキ</t>
    </rPh>
    <rPh sb="6" eb="7">
      <t>ベツ</t>
    </rPh>
    <rPh sb="7" eb="9">
      <t>ハツビョウ</t>
    </rPh>
    <rPh sb="9" eb="10">
      <t>ヨウ</t>
    </rPh>
    <rPh sb="10" eb="11">
      <t>スウ</t>
    </rPh>
    <rPh sb="12" eb="13">
      <t>マイ</t>
    </rPh>
    <phoneticPr fontId="2"/>
  </si>
  <si>
    <t>もち病　茶期別発病葉数（枚／㎡）</t>
    <rPh sb="2" eb="3">
      <t>ビョウ</t>
    </rPh>
    <rPh sb="4" eb="6">
      <t>チャキ</t>
    </rPh>
    <rPh sb="6" eb="7">
      <t>ベツ</t>
    </rPh>
    <rPh sb="7" eb="9">
      <t>ハツビョウ</t>
    </rPh>
    <rPh sb="9" eb="10">
      <t>ヨウ</t>
    </rPh>
    <rPh sb="10" eb="11">
      <t>スウ</t>
    </rPh>
    <rPh sb="12" eb="13">
      <t>マイ</t>
    </rPh>
    <phoneticPr fontId="2"/>
  </si>
  <si>
    <t>３月</t>
    <phoneticPr fontId="2"/>
  </si>
  <si>
    <t>H23年</t>
    <rPh sb="3" eb="4">
      <t>ネン</t>
    </rPh>
    <phoneticPr fontId="2"/>
  </si>
  <si>
    <t>H23年</t>
    <phoneticPr fontId="2"/>
  </si>
  <si>
    <t>10月</t>
    <phoneticPr fontId="2"/>
  </si>
  <si>
    <t>11月</t>
    <phoneticPr fontId="2"/>
  </si>
  <si>
    <t>H24年</t>
    <rPh sb="3" eb="4">
      <t>ネン</t>
    </rPh>
    <phoneticPr fontId="2"/>
  </si>
  <si>
    <t>H24年</t>
  </si>
  <si>
    <t>欠測</t>
    <rPh sb="0" eb="1">
      <t>ケツ</t>
    </rPh>
    <rPh sb="1" eb="2">
      <t>ソク</t>
    </rPh>
    <phoneticPr fontId="2"/>
  </si>
  <si>
    <t>H25年</t>
  </si>
  <si>
    <t>H25年</t>
    <rPh sb="3" eb="4">
      <t>ネン</t>
    </rPh>
    <phoneticPr fontId="2"/>
  </si>
  <si>
    <t>チャノミドリヒメヨコバイ　吸引粘着トラップ捕殺数</t>
    <rPh sb="13" eb="15">
      <t>キュウイン</t>
    </rPh>
    <rPh sb="15" eb="17">
      <t>ネンチャク</t>
    </rPh>
    <rPh sb="21" eb="22">
      <t>ホ</t>
    </rPh>
    <phoneticPr fontId="2"/>
  </si>
  <si>
    <t>H26年</t>
    <rPh sb="3" eb="4">
      <t>ネン</t>
    </rPh>
    <phoneticPr fontId="2"/>
  </si>
  <si>
    <t>H26年</t>
  </si>
  <si>
    <t>H27年</t>
  </si>
  <si>
    <t>H28年</t>
  </si>
  <si>
    <t>H27年</t>
    <rPh sb="3" eb="4">
      <t>ネン</t>
    </rPh>
    <phoneticPr fontId="2"/>
  </si>
  <si>
    <t>H28年</t>
    <rPh sb="3" eb="4">
      <t>ネン</t>
    </rPh>
    <phoneticPr fontId="2"/>
  </si>
  <si>
    <t>3/18再設置</t>
    <rPh sb="4" eb="7">
      <t>サイセッチ</t>
    </rPh>
    <phoneticPr fontId="2"/>
  </si>
  <si>
    <t>３月</t>
    <rPh sb="1" eb="2">
      <t>ガツ</t>
    </rPh>
    <phoneticPr fontId="2"/>
  </si>
  <si>
    <t>3.18設置</t>
    <rPh sb="4" eb="6">
      <t>セッチ</t>
    </rPh>
    <phoneticPr fontId="2"/>
  </si>
  <si>
    <t>チャノコカクモンハマキ　フェロモントラップ誘殺数</t>
    <phoneticPr fontId="2"/>
  </si>
  <si>
    <t>チャハマキ　フェロモントラップ誘殺数</t>
    <phoneticPr fontId="2"/>
  </si>
  <si>
    <t>チャノホソガ</t>
    <phoneticPr fontId="2"/>
  </si>
  <si>
    <t>チャノコカクモンハマキ</t>
    <phoneticPr fontId="2"/>
  </si>
  <si>
    <t>チャハマキ</t>
    <phoneticPr fontId="2"/>
  </si>
  <si>
    <t>3.22設置</t>
    <rPh sb="4" eb="6">
      <t>セッチ</t>
    </rPh>
    <phoneticPr fontId="2"/>
  </si>
  <si>
    <t>平年（過去10年）</t>
    <phoneticPr fontId="2"/>
  </si>
  <si>
    <t>3月</t>
    <phoneticPr fontId="2"/>
  </si>
  <si>
    <t>4月</t>
    <phoneticPr fontId="2"/>
  </si>
  <si>
    <t>5月</t>
    <rPh sb="1" eb="2">
      <t>ガツ</t>
    </rPh>
    <phoneticPr fontId="2"/>
  </si>
  <si>
    <t>6月</t>
    <phoneticPr fontId="2"/>
  </si>
  <si>
    <t>7月</t>
    <phoneticPr fontId="2"/>
  </si>
  <si>
    <t>8月</t>
    <phoneticPr fontId="2"/>
  </si>
  <si>
    <t>9月</t>
    <phoneticPr fontId="2"/>
  </si>
  <si>
    <t>10月</t>
    <phoneticPr fontId="2"/>
  </si>
  <si>
    <t>11月</t>
    <phoneticPr fontId="2"/>
  </si>
  <si>
    <r>
      <rPr>
        <sz val="10"/>
        <rFont val="ＭＳ Ｐ明朝"/>
        <family val="1"/>
        <charset val="128"/>
      </rPr>
      <t>第</t>
    </r>
    <r>
      <rPr>
        <sz val="10"/>
        <rFont val="Times New Roman"/>
        <family val="1"/>
      </rPr>
      <t>1</t>
    </r>
    <r>
      <rPr>
        <sz val="10"/>
        <rFont val="ＭＳ Ｐ明朝"/>
        <family val="1"/>
        <charset val="128"/>
      </rPr>
      <t>世代</t>
    </r>
    <rPh sb="0" eb="1">
      <t>ダイ</t>
    </rPh>
    <rPh sb="2" eb="4">
      <t>セダイ</t>
    </rPh>
    <phoneticPr fontId="2"/>
  </si>
  <si>
    <r>
      <rPr>
        <sz val="10"/>
        <rFont val="ＭＳ Ｐ明朝"/>
        <family val="1"/>
        <charset val="128"/>
      </rPr>
      <t>第</t>
    </r>
    <r>
      <rPr>
        <sz val="10"/>
        <rFont val="Times New Roman"/>
        <family val="1"/>
      </rPr>
      <t>2</t>
    </r>
    <r>
      <rPr>
        <sz val="10"/>
        <rFont val="ＭＳ Ｐ明朝"/>
        <family val="1"/>
        <charset val="128"/>
      </rPr>
      <t>世代</t>
    </r>
    <rPh sb="0" eb="1">
      <t>ダイ</t>
    </rPh>
    <rPh sb="2" eb="4">
      <t>セダイ</t>
    </rPh>
    <phoneticPr fontId="2"/>
  </si>
  <si>
    <r>
      <rPr>
        <i/>
        <sz val="18"/>
        <rFont val="ＭＳ Ｐ明朝"/>
        <family val="1"/>
        <charset val="128"/>
      </rPr>
      <t>チャノホソガ　フェロモントラップ誘殺数</t>
    </r>
  </si>
  <si>
    <r>
      <rPr>
        <i/>
        <sz val="14"/>
        <rFont val="ＭＳ Ｐ明朝"/>
        <family val="1"/>
        <charset val="128"/>
      </rPr>
      <t>単年値</t>
    </r>
    <rPh sb="0" eb="1">
      <t>タン</t>
    </rPh>
    <rPh sb="1" eb="2">
      <t>ネン</t>
    </rPh>
    <rPh sb="2" eb="3">
      <t>チ</t>
    </rPh>
    <phoneticPr fontId="2"/>
  </si>
  <si>
    <r>
      <rPr>
        <i/>
        <sz val="14"/>
        <rFont val="ＭＳ Ｐ明朝"/>
        <family val="1"/>
        <charset val="128"/>
      </rPr>
      <t>平年値</t>
    </r>
    <rPh sb="0" eb="3">
      <t>ヘイネンチ</t>
    </rPh>
    <phoneticPr fontId="2"/>
  </si>
  <si>
    <r>
      <rPr>
        <i/>
        <sz val="14"/>
        <rFont val="ＭＳ Ｐ明朝"/>
        <family val="1"/>
        <charset val="128"/>
      </rPr>
      <t>複数年平均値</t>
    </r>
    <rPh sb="0" eb="2">
      <t>フクスウ</t>
    </rPh>
    <rPh sb="2" eb="5">
      <t>ネンヘイキン</t>
    </rPh>
    <rPh sb="5" eb="6">
      <t>チ</t>
    </rPh>
    <phoneticPr fontId="2"/>
  </si>
  <si>
    <r>
      <rPr>
        <sz val="11"/>
        <rFont val="ＭＳ Ｐ明朝"/>
        <family val="1"/>
        <charset val="128"/>
      </rPr>
      <t>平年（過去</t>
    </r>
    <r>
      <rPr>
        <sz val="11"/>
        <rFont val="Times New Roman"/>
        <family val="1"/>
      </rPr>
      <t>10</t>
    </r>
    <r>
      <rPr>
        <sz val="11"/>
        <rFont val="ＭＳ Ｐ明朝"/>
        <family val="1"/>
        <charset val="128"/>
      </rPr>
      <t>年）</t>
    </r>
    <rPh sb="0" eb="2">
      <t>ヘイネン</t>
    </rPh>
    <rPh sb="7" eb="8">
      <t>ネン</t>
    </rPh>
    <phoneticPr fontId="2"/>
  </si>
  <si>
    <r>
      <rPr>
        <sz val="12"/>
        <rFont val="ＭＳ Ｐ明朝"/>
        <family val="1"/>
        <charset val="128"/>
      </rPr>
      <t>～</t>
    </r>
    <phoneticPr fontId="2"/>
  </si>
  <si>
    <r>
      <t>S62</t>
    </r>
    <r>
      <rPr>
        <sz val="11"/>
        <rFont val="ＭＳ Ｐ明朝"/>
        <family val="1"/>
        <charset val="128"/>
      </rPr>
      <t>年</t>
    </r>
    <rPh sb="3" eb="4">
      <t>ネン</t>
    </rPh>
    <phoneticPr fontId="2"/>
  </si>
  <si>
    <r>
      <t>S63</t>
    </r>
    <r>
      <rPr>
        <sz val="11"/>
        <rFont val="ＭＳ Ｐ明朝"/>
        <family val="1"/>
        <charset val="128"/>
      </rPr>
      <t>年</t>
    </r>
    <rPh sb="3" eb="4">
      <t>ネン</t>
    </rPh>
    <phoneticPr fontId="2"/>
  </si>
  <si>
    <r>
      <t>H</t>
    </r>
    <r>
      <rPr>
        <sz val="11"/>
        <rFont val="ＭＳ Ｐ明朝"/>
        <family val="1"/>
        <charset val="128"/>
      </rPr>
      <t>元年</t>
    </r>
    <rPh sb="1" eb="3">
      <t>ガンネン</t>
    </rPh>
    <phoneticPr fontId="2"/>
  </si>
  <si>
    <r>
      <t>H2</t>
    </r>
    <r>
      <rPr>
        <sz val="11"/>
        <rFont val="ＭＳ Ｐ明朝"/>
        <family val="1"/>
        <charset val="128"/>
      </rPr>
      <t>年</t>
    </r>
    <rPh sb="2" eb="3">
      <t>ネン</t>
    </rPh>
    <phoneticPr fontId="2"/>
  </si>
  <si>
    <r>
      <t>H3</t>
    </r>
    <r>
      <rPr>
        <sz val="11"/>
        <rFont val="ＭＳ Ｐ明朝"/>
        <family val="1"/>
        <charset val="128"/>
      </rPr>
      <t>年</t>
    </r>
    <rPh sb="2" eb="3">
      <t>ネン</t>
    </rPh>
    <phoneticPr fontId="2"/>
  </si>
  <si>
    <r>
      <t>H4</t>
    </r>
    <r>
      <rPr>
        <sz val="11"/>
        <rFont val="ＭＳ Ｐ明朝"/>
        <family val="1"/>
        <charset val="128"/>
      </rPr>
      <t>年</t>
    </r>
    <rPh sb="2" eb="3">
      <t>ネン</t>
    </rPh>
    <phoneticPr fontId="2"/>
  </si>
  <si>
    <r>
      <t>H5</t>
    </r>
    <r>
      <rPr>
        <sz val="11"/>
        <rFont val="ＭＳ Ｐ明朝"/>
        <family val="1"/>
        <charset val="128"/>
      </rPr>
      <t>年</t>
    </r>
    <rPh sb="2" eb="3">
      <t>ネン</t>
    </rPh>
    <phoneticPr fontId="2"/>
  </si>
  <si>
    <r>
      <t>H6</t>
    </r>
    <r>
      <rPr>
        <sz val="11"/>
        <rFont val="ＭＳ Ｐ明朝"/>
        <family val="1"/>
        <charset val="128"/>
      </rPr>
      <t>年</t>
    </r>
    <rPh sb="2" eb="3">
      <t>ネン</t>
    </rPh>
    <phoneticPr fontId="2"/>
  </si>
  <si>
    <r>
      <t>H7</t>
    </r>
    <r>
      <rPr>
        <sz val="11"/>
        <rFont val="ＭＳ Ｐ明朝"/>
        <family val="1"/>
        <charset val="128"/>
      </rPr>
      <t>年</t>
    </r>
    <rPh sb="2" eb="3">
      <t>ネン</t>
    </rPh>
    <phoneticPr fontId="2"/>
  </si>
  <si>
    <r>
      <t>H8</t>
    </r>
    <r>
      <rPr>
        <sz val="11"/>
        <rFont val="ＭＳ Ｐ明朝"/>
        <family val="1"/>
        <charset val="128"/>
      </rPr>
      <t>年</t>
    </r>
    <rPh sb="2" eb="3">
      <t>ネン</t>
    </rPh>
    <phoneticPr fontId="2"/>
  </si>
  <si>
    <r>
      <t>H9</t>
    </r>
    <r>
      <rPr>
        <sz val="11"/>
        <rFont val="ＭＳ Ｐ明朝"/>
        <family val="1"/>
        <charset val="128"/>
      </rPr>
      <t>年</t>
    </r>
    <rPh sb="2" eb="3">
      <t>ネン</t>
    </rPh>
    <phoneticPr fontId="2"/>
  </si>
  <si>
    <r>
      <t>H10</t>
    </r>
    <r>
      <rPr>
        <sz val="11"/>
        <rFont val="ＭＳ Ｐ明朝"/>
        <family val="1"/>
        <charset val="128"/>
      </rPr>
      <t>年</t>
    </r>
    <rPh sb="3" eb="4">
      <t>ネン</t>
    </rPh>
    <phoneticPr fontId="2"/>
  </si>
  <si>
    <r>
      <t>H11</t>
    </r>
    <r>
      <rPr>
        <sz val="11"/>
        <rFont val="ＭＳ Ｐ明朝"/>
        <family val="1"/>
        <charset val="128"/>
      </rPr>
      <t>年</t>
    </r>
    <rPh sb="3" eb="4">
      <t>ネン</t>
    </rPh>
    <phoneticPr fontId="2"/>
  </si>
  <si>
    <r>
      <t>H12</t>
    </r>
    <r>
      <rPr>
        <sz val="11"/>
        <rFont val="ＭＳ Ｐ明朝"/>
        <family val="1"/>
        <charset val="128"/>
      </rPr>
      <t>年</t>
    </r>
    <rPh sb="3" eb="4">
      <t>ネン</t>
    </rPh>
    <phoneticPr fontId="2"/>
  </si>
  <si>
    <r>
      <t>H13</t>
    </r>
    <r>
      <rPr>
        <sz val="11"/>
        <rFont val="ＭＳ Ｐ明朝"/>
        <family val="1"/>
        <charset val="128"/>
      </rPr>
      <t>年</t>
    </r>
    <rPh sb="3" eb="4">
      <t>ネン</t>
    </rPh>
    <phoneticPr fontId="2"/>
  </si>
  <si>
    <r>
      <t>H14</t>
    </r>
    <r>
      <rPr>
        <sz val="11"/>
        <rFont val="ＭＳ Ｐ明朝"/>
        <family val="1"/>
        <charset val="128"/>
      </rPr>
      <t>年</t>
    </r>
    <rPh sb="3" eb="4">
      <t>ネン</t>
    </rPh>
    <phoneticPr fontId="2"/>
  </si>
  <si>
    <r>
      <t>H15</t>
    </r>
    <r>
      <rPr>
        <sz val="11"/>
        <rFont val="ＭＳ Ｐ明朝"/>
        <family val="1"/>
        <charset val="128"/>
      </rPr>
      <t>年</t>
    </r>
    <rPh sb="3" eb="4">
      <t>ネン</t>
    </rPh>
    <phoneticPr fontId="2"/>
  </si>
  <si>
    <r>
      <t>H16</t>
    </r>
    <r>
      <rPr>
        <sz val="11"/>
        <rFont val="ＭＳ Ｐ明朝"/>
        <family val="1"/>
        <charset val="128"/>
      </rPr>
      <t>年</t>
    </r>
    <rPh sb="3" eb="4">
      <t>ネン</t>
    </rPh>
    <phoneticPr fontId="2"/>
  </si>
  <si>
    <r>
      <t>H17</t>
    </r>
    <r>
      <rPr>
        <sz val="11"/>
        <rFont val="ＭＳ Ｐ明朝"/>
        <family val="1"/>
        <charset val="128"/>
      </rPr>
      <t>年</t>
    </r>
    <rPh sb="3" eb="4">
      <t>ネン</t>
    </rPh>
    <phoneticPr fontId="2"/>
  </si>
  <si>
    <r>
      <t>H18</t>
    </r>
    <r>
      <rPr>
        <sz val="11"/>
        <rFont val="ＭＳ Ｐ明朝"/>
        <family val="1"/>
        <charset val="128"/>
      </rPr>
      <t>年</t>
    </r>
    <rPh sb="3" eb="4">
      <t>ネン</t>
    </rPh>
    <phoneticPr fontId="2"/>
  </si>
  <si>
    <r>
      <t>H19</t>
    </r>
    <r>
      <rPr>
        <sz val="11"/>
        <rFont val="ＭＳ Ｐ明朝"/>
        <family val="1"/>
        <charset val="128"/>
      </rPr>
      <t>年</t>
    </r>
    <rPh sb="3" eb="4">
      <t>ネン</t>
    </rPh>
    <phoneticPr fontId="2"/>
  </si>
  <si>
    <r>
      <t>H20</t>
    </r>
    <r>
      <rPr>
        <sz val="11"/>
        <rFont val="ＭＳ Ｐ明朝"/>
        <family val="1"/>
        <charset val="128"/>
      </rPr>
      <t>年</t>
    </r>
    <rPh sb="3" eb="4">
      <t>ネン</t>
    </rPh>
    <phoneticPr fontId="2"/>
  </si>
  <si>
    <r>
      <t>H21</t>
    </r>
    <r>
      <rPr>
        <sz val="11"/>
        <rFont val="ＭＳ Ｐ明朝"/>
        <family val="1"/>
        <charset val="128"/>
      </rPr>
      <t>年</t>
    </r>
    <rPh sb="3" eb="4">
      <t>ネン</t>
    </rPh>
    <phoneticPr fontId="2"/>
  </si>
  <si>
    <r>
      <t>H22</t>
    </r>
    <r>
      <rPr>
        <sz val="11"/>
        <rFont val="ＭＳ Ｐ明朝"/>
        <family val="1"/>
        <charset val="128"/>
      </rPr>
      <t>年</t>
    </r>
    <rPh sb="3" eb="4">
      <t>ネン</t>
    </rPh>
    <phoneticPr fontId="2"/>
  </si>
  <si>
    <r>
      <t>H23</t>
    </r>
    <r>
      <rPr>
        <sz val="11"/>
        <rFont val="ＭＳ Ｐ明朝"/>
        <family val="1"/>
        <charset val="128"/>
      </rPr>
      <t>年</t>
    </r>
    <rPh sb="3" eb="4">
      <t>ネン</t>
    </rPh>
    <phoneticPr fontId="2"/>
  </si>
  <si>
    <r>
      <t>H24</t>
    </r>
    <r>
      <rPr>
        <sz val="11"/>
        <rFont val="ＭＳ Ｐ明朝"/>
        <family val="1"/>
        <charset val="128"/>
      </rPr>
      <t>年</t>
    </r>
    <rPh sb="3" eb="4">
      <t>ネン</t>
    </rPh>
    <phoneticPr fontId="2"/>
  </si>
  <si>
    <r>
      <t>H25</t>
    </r>
    <r>
      <rPr>
        <sz val="11"/>
        <rFont val="ＭＳ Ｐ明朝"/>
        <family val="1"/>
        <charset val="128"/>
      </rPr>
      <t>年</t>
    </r>
    <rPh sb="3" eb="4">
      <t>ネン</t>
    </rPh>
    <phoneticPr fontId="2"/>
  </si>
  <si>
    <r>
      <t>H26</t>
    </r>
    <r>
      <rPr>
        <sz val="11"/>
        <rFont val="ＭＳ Ｐ明朝"/>
        <family val="1"/>
        <charset val="128"/>
      </rPr>
      <t>年</t>
    </r>
    <rPh sb="3" eb="4">
      <t>ネン</t>
    </rPh>
    <phoneticPr fontId="2"/>
  </si>
  <si>
    <r>
      <t>H27</t>
    </r>
    <r>
      <rPr>
        <sz val="11"/>
        <rFont val="ＭＳ Ｐ明朝"/>
        <family val="1"/>
        <charset val="128"/>
      </rPr>
      <t>年</t>
    </r>
    <rPh sb="3" eb="4">
      <t>ネン</t>
    </rPh>
    <phoneticPr fontId="2"/>
  </si>
  <si>
    <r>
      <t>H28</t>
    </r>
    <r>
      <rPr>
        <sz val="11"/>
        <rFont val="ＭＳ Ｐ明朝"/>
        <family val="1"/>
        <charset val="128"/>
      </rPr>
      <t>年</t>
    </r>
    <rPh sb="3" eb="4">
      <t>ネン</t>
    </rPh>
    <phoneticPr fontId="2"/>
  </si>
  <si>
    <r>
      <t>H29</t>
    </r>
    <r>
      <rPr>
        <sz val="11"/>
        <rFont val="ＭＳ Ｐ明朝"/>
        <family val="1"/>
        <charset val="128"/>
      </rPr>
      <t>年</t>
    </r>
    <rPh sb="3" eb="4">
      <t>ネン</t>
    </rPh>
    <phoneticPr fontId="2"/>
  </si>
  <si>
    <r>
      <rPr>
        <sz val="11"/>
        <rFont val="ＭＳ Ｐ明朝"/>
        <family val="1"/>
        <charset val="128"/>
      </rPr>
      <t>１半旬</t>
    </r>
  </si>
  <si>
    <r>
      <rPr>
        <sz val="11"/>
        <rFont val="ＭＳ Ｐ明朝"/>
        <family val="1"/>
        <charset val="128"/>
      </rPr>
      <t>２半旬</t>
    </r>
  </si>
  <si>
    <r>
      <t>3</t>
    </r>
    <r>
      <rPr>
        <sz val="11"/>
        <rFont val="ＭＳ Ｐ明朝"/>
        <family val="1"/>
        <charset val="128"/>
      </rPr>
      <t>月</t>
    </r>
    <phoneticPr fontId="2"/>
  </si>
  <si>
    <r>
      <rPr>
        <sz val="11"/>
        <rFont val="ＭＳ Ｐ明朝"/>
        <family val="1"/>
        <charset val="128"/>
      </rPr>
      <t>３半旬</t>
    </r>
  </si>
  <si>
    <r>
      <rPr>
        <sz val="11"/>
        <rFont val="ＭＳ Ｐ明朝"/>
        <family val="1"/>
        <charset val="128"/>
      </rPr>
      <t>４半旬</t>
    </r>
  </si>
  <si>
    <r>
      <rPr>
        <sz val="11"/>
        <rFont val="ＭＳ Ｐ明朝"/>
        <family val="1"/>
        <charset val="128"/>
      </rPr>
      <t>５半旬</t>
    </r>
  </si>
  <si>
    <r>
      <rPr>
        <sz val="11"/>
        <rFont val="ＭＳ Ｐ明朝"/>
        <family val="1"/>
        <charset val="128"/>
      </rPr>
      <t>６半旬</t>
    </r>
  </si>
  <si>
    <r>
      <t>4</t>
    </r>
    <r>
      <rPr>
        <sz val="11"/>
        <rFont val="ＭＳ Ｐ明朝"/>
        <family val="1"/>
        <charset val="128"/>
      </rPr>
      <t>月</t>
    </r>
    <phoneticPr fontId="2"/>
  </si>
  <si>
    <r>
      <t>5</t>
    </r>
    <r>
      <rPr>
        <sz val="11"/>
        <rFont val="ＭＳ Ｐ明朝"/>
        <family val="1"/>
        <charset val="128"/>
      </rPr>
      <t>月</t>
    </r>
    <rPh sb="1" eb="2">
      <t>ガツ</t>
    </rPh>
    <phoneticPr fontId="2"/>
  </si>
  <si>
    <r>
      <t>5</t>
    </r>
    <r>
      <rPr>
        <sz val="11"/>
        <rFont val="ＭＳ Ｐ明朝"/>
        <family val="1"/>
        <charset val="128"/>
      </rPr>
      <t>年平均</t>
    </r>
    <rPh sb="1" eb="2">
      <t>ネン</t>
    </rPh>
    <rPh sb="2" eb="4">
      <t>ヘイキン</t>
    </rPh>
    <phoneticPr fontId="2"/>
  </si>
  <si>
    <r>
      <t>6</t>
    </r>
    <r>
      <rPr>
        <sz val="11"/>
        <rFont val="ＭＳ Ｐ明朝"/>
        <family val="1"/>
        <charset val="128"/>
      </rPr>
      <t>月</t>
    </r>
    <phoneticPr fontId="2"/>
  </si>
  <si>
    <r>
      <t>7</t>
    </r>
    <r>
      <rPr>
        <sz val="11"/>
        <rFont val="ＭＳ Ｐ明朝"/>
        <family val="1"/>
        <charset val="128"/>
      </rPr>
      <t>月</t>
    </r>
    <phoneticPr fontId="2"/>
  </si>
  <si>
    <r>
      <t>8</t>
    </r>
    <r>
      <rPr>
        <sz val="11"/>
        <rFont val="ＭＳ Ｐ明朝"/>
        <family val="1"/>
        <charset val="128"/>
      </rPr>
      <t>月</t>
    </r>
    <phoneticPr fontId="2"/>
  </si>
  <si>
    <r>
      <t>9</t>
    </r>
    <r>
      <rPr>
        <sz val="11"/>
        <rFont val="ＭＳ Ｐ明朝"/>
        <family val="1"/>
        <charset val="128"/>
      </rPr>
      <t>月</t>
    </r>
    <phoneticPr fontId="2"/>
  </si>
  <si>
    <r>
      <t>10</t>
    </r>
    <r>
      <rPr>
        <sz val="11"/>
        <rFont val="ＭＳ Ｐ明朝"/>
        <family val="1"/>
        <charset val="128"/>
      </rPr>
      <t>月</t>
    </r>
    <phoneticPr fontId="2"/>
  </si>
  <si>
    <r>
      <t>11</t>
    </r>
    <r>
      <rPr>
        <sz val="11"/>
        <rFont val="ＭＳ Ｐ明朝"/>
        <family val="1"/>
        <charset val="128"/>
      </rPr>
      <t>月</t>
    </r>
    <phoneticPr fontId="2"/>
  </si>
  <si>
    <r>
      <rPr>
        <i/>
        <sz val="18"/>
        <rFont val="ＭＳ Ｐ明朝"/>
        <family val="1"/>
        <charset val="128"/>
      </rPr>
      <t>チャトゲコナジラミ　黄色粘着トラップ（</t>
    </r>
    <r>
      <rPr>
        <i/>
        <sz val="18"/>
        <rFont val="Times New Roman"/>
        <family val="1"/>
      </rPr>
      <t>IT</t>
    </r>
    <r>
      <rPr>
        <i/>
        <sz val="18"/>
        <rFont val="ＭＳ Ｐ明朝"/>
        <family val="1"/>
        <charset val="128"/>
      </rPr>
      <t>シート）捕獲数</t>
    </r>
    <rPh sb="10" eb="12">
      <t>オウショク</t>
    </rPh>
    <rPh sb="12" eb="14">
      <t>ネンチャク</t>
    </rPh>
    <rPh sb="25" eb="27">
      <t>ホカク</t>
    </rPh>
    <phoneticPr fontId="2"/>
  </si>
  <si>
    <r>
      <rPr>
        <i/>
        <sz val="14"/>
        <rFont val="ＭＳ Ｐ明朝"/>
        <family val="1"/>
        <charset val="128"/>
      </rPr>
      <t>単年値</t>
    </r>
  </si>
  <si>
    <r>
      <rPr>
        <i/>
        <sz val="14"/>
        <rFont val="ＭＳ Ｐ明朝"/>
        <family val="1"/>
        <charset val="128"/>
      </rPr>
      <t>平年値</t>
    </r>
  </si>
  <si>
    <r>
      <rPr>
        <i/>
        <sz val="14"/>
        <rFont val="ＭＳ Ｐ明朝"/>
        <family val="1"/>
        <charset val="128"/>
      </rPr>
      <t>複数年平均値</t>
    </r>
  </si>
  <si>
    <r>
      <rPr>
        <sz val="12"/>
        <rFont val="ＭＳ Ｐ明朝"/>
        <family val="1"/>
        <charset val="128"/>
      </rPr>
      <t>～</t>
    </r>
  </si>
  <si>
    <r>
      <t>H21</t>
    </r>
    <r>
      <rPr>
        <sz val="11"/>
        <rFont val="ＭＳ Ｐ明朝"/>
        <family val="1"/>
        <charset val="128"/>
      </rPr>
      <t>年</t>
    </r>
  </si>
  <si>
    <r>
      <t>H22</t>
    </r>
    <r>
      <rPr>
        <sz val="11"/>
        <rFont val="ＭＳ Ｐ明朝"/>
        <family val="1"/>
        <charset val="128"/>
      </rPr>
      <t>年</t>
    </r>
  </si>
  <si>
    <r>
      <t>H23</t>
    </r>
    <r>
      <rPr>
        <sz val="11"/>
        <rFont val="ＭＳ Ｐ明朝"/>
        <family val="1"/>
        <charset val="128"/>
      </rPr>
      <t>年</t>
    </r>
    <phoneticPr fontId="2"/>
  </si>
  <si>
    <r>
      <t>H24</t>
    </r>
    <r>
      <rPr>
        <sz val="11"/>
        <rFont val="ＭＳ Ｐ明朝"/>
        <family val="1"/>
        <charset val="128"/>
      </rPr>
      <t>年</t>
    </r>
  </si>
  <si>
    <r>
      <t>H25</t>
    </r>
    <r>
      <rPr>
        <sz val="11"/>
        <rFont val="ＭＳ Ｐ明朝"/>
        <family val="1"/>
        <charset val="128"/>
      </rPr>
      <t>年</t>
    </r>
  </si>
  <si>
    <r>
      <t>H26</t>
    </r>
    <r>
      <rPr>
        <sz val="11"/>
        <rFont val="ＭＳ Ｐ明朝"/>
        <family val="1"/>
        <charset val="128"/>
      </rPr>
      <t>年</t>
    </r>
  </si>
  <si>
    <r>
      <t>H27</t>
    </r>
    <r>
      <rPr>
        <sz val="11"/>
        <rFont val="ＭＳ Ｐ明朝"/>
        <family val="1"/>
        <charset val="128"/>
      </rPr>
      <t>年</t>
    </r>
  </si>
  <si>
    <r>
      <t>H28</t>
    </r>
    <r>
      <rPr>
        <sz val="11"/>
        <rFont val="ＭＳ Ｐ明朝"/>
        <family val="1"/>
        <charset val="128"/>
      </rPr>
      <t>年</t>
    </r>
  </si>
  <si>
    <r>
      <rPr>
        <sz val="11"/>
        <rFont val="ＭＳ Ｐ明朝"/>
        <family val="1"/>
        <charset val="128"/>
      </rPr>
      <t>１</t>
    </r>
    <r>
      <rPr>
        <sz val="11"/>
        <rFont val="Times New Roman"/>
        <family val="1"/>
      </rPr>
      <t>2</t>
    </r>
    <r>
      <rPr>
        <sz val="11"/>
        <rFont val="ＭＳ Ｐ明朝"/>
        <family val="1"/>
        <charset val="128"/>
      </rPr>
      <t>月</t>
    </r>
    <phoneticPr fontId="2"/>
  </si>
  <si>
    <r>
      <rPr>
        <i/>
        <sz val="18"/>
        <rFont val="ＭＳ Ｐ明朝"/>
        <family val="1"/>
        <charset val="128"/>
      </rPr>
      <t>黄色粘着トラップ誘殺数</t>
    </r>
    <rPh sb="0" eb="2">
      <t>オウショク</t>
    </rPh>
    <rPh sb="2" eb="4">
      <t>ネンチャク</t>
    </rPh>
    <phoneticPr fontId="2"/>
  </si>
  <si>
    <r>
      <rPr>
        <i/>
        <sz val="11"/>
        <rFont val="ＭＳ Ｐ明朝"/>
        <family val="1"/>
        <charset val="128"/>
      </rPr>
      <t>チャノミドリヒメヨコバイ</t>
    </r>
    <phoneticPr fontId="2"/>
  </si>
  <si>
    <r>
      <rPr>
        <i/>
        <sz val="11"/>
        <rFont val="ＭＳ Ｐ明朝"/>
        <family val="1"/>
        <charset val="128"/>
      </rPr>
      <t>チャノキイロアザミウマ</t>
    </r>
    <phoneticPr fontId="2"/>
  </si>
  <si>
    <r>
      <t>12</t>
    </r>
    <r>
      <rPr>
        <sz val="11"/>
        <rFont val="ＭＳ Ｐ明朝"/>
        <family val="1"/>
        <charset val="128"/>
      </rPr>
      <t>月</t>
    </r>
    <phoneticPr fontId="2"/>
  </si>
  <si>
    <r>
      <rPr>
        <i/>
        <sz val="18"/>
        <rFont val="ＭＳ Ｐ明朝"/>
        <family val="1"/>
        <charset val="128"/>
      </rPr>
      <t>カンザワハダニ　寄生葉率</t>
    </r>
  </si>
  <si>
    <r>
      <rPr>
        <sz val="12"/>
        <rFont val="ＭＳ Ｐ明朝"/>
        <family val="1"/>
        <charset val="128"/>
      </rPr>
      <t>～</t>
    </r>
    <phoneticPr fontId="2"/>
  </si>
  <si>
    <r>
      <rPr>
        <sz val="11"/>
        <rFont val="ＭＳ Ｐ明朝"/>
        <family val="1"/>
        <charset val="128"/>
      </rPr>
      <t>上旬</t>
    </r>
    <rPh sb="0" eb="1">
      <t>ジョウ</t>
    </rPh>
    <phoneticPr fontId="2"/>
  </si>
  <si>
    <r>
      <t>1</t>
    </r>
    <r>
      <rPr>
        <sz val="11"/>
        <rFont val="ＭＳ Ｐ明朝"/>
        <family val="1"/>
        <charset val="128"/>
      </rPr>
      <t>月</t>
    </r>
    <phoneticPr fontId="2"/>
  </si>
  <si>
    <r>
      <rPr>
        <sz val="11"/>
        <rFont val="ＭＳ Ｐ明朝"/>
        <family val="1"/>
        <charset val="128"/>
      </rPr>
      <t>中旬</t>
    </r>
    <rPh sb="0" eb="1">
      <t>チュウ</t>
    </rPh>
    <phoneticPr fontId="2"/>
  </si>
  <si>
    <r>
      <rPr>
        <sz val="11"/>
        <rFont val="ＭＳ Ｐ明朝"/>
        <family val="1"/>
        <charset val="128"/>
      </rPr>
      <t>下旬</t>
    </r>
    <rPh sb="0" eb="1">
      <t>シタ</t>
    </rPh>
    <phoneticPr fontId="2"/>
  </si>
  <si>
    <r>
      <t>2</t>
    </r>
    <r>
      <rPr>
        <sz val="11"/>
        <rFont val="ＭＳ Ｐ明朝"/>
        <family val="1"/>
        <charset val="128"/>
      </rPr>
      <t>月</t>
    </r>
  </si>
  <si>
    <r>
      <t>3</t>
    </r>
    <r>
      <rPr>
        <sz val="11"/>
        <rFont val="ＭＳ Ｐ明朝"/>
        <family val="1"/>
        <charset val="128"/>
      </rPr>
      <t>月</t>
    </r>
  </si>
  <si>
    <r>
      <t>4</t>
    </r>
    <r>
      <rPr>
        <sz val="11"/>
        <rFont val="ＭＳ Ｐ明朝"/>
        <family val="1"/>
        <charset val="128"/>
      </rPr>
      <t>月</t>
    </r>
  </si>
  <si>
    <r>
      <t>5</t>
    </r>
    <r>
      <rPr>
        <sz val="11"/>
        <rFont val="ＭＳ Ｐ明朝"/>
        <family val="1"/>
        <charset val="128"/>
      </rPr>
      <t>月</t>
    </r>
  </si>
  <si>
    <r>
      <t>6</t>
    </r>
    <r>
      <rPr>
        <sz val="11"/>
        <rFont val="ＭＳ Ｐ明朝"/>
        <family val="1"/>
        <charset val="128"/>
      </rPr>
      <t>月</t>
    </r>
  </si>
  <si>
    <r>
      <t>7</t>
    </r>
    <r>
      <rPr>
        <sz val="11"/>
        <rFont val="ＭＳ Ｐ明朝"/>
        <family val="1"/>
        <charset val="128"/>
      </rPr>
      <t>月</t>
    </r>
  </si>
  <si>
    <r>
      <t>8</t>
    </r>
    <r>
      <rPr>
        <sz val="11"/>
        <rFont val="ＭＳ Ｐ明朝"/>
        <family val="1"/>
        <charset val="128"/>
      </rPr>
      <t>月</t>
    </r>
  </si>
  <si>
    <r>
      <t>9</t>
    </r>
    <r>
      <rPr>
        <sz val="11"/>
        <rFont val="ＭＳ Ｐ明朝"/>
        <family val="1"/>
        <charset val="128"/>
      </rPr>
      <t>月</t>
    </r>
  </si>
  <si>
    <r>
      <t>10</t>
    </r>
    <r>
      <rPr>
        <sz val="11"/>
        <rFont val="ＭＳ Ｐ明朝"/>
        <family val="1"/>
        <charset val="128"/>
      </rPr>
      <t>月</t>
    </r>
  </si>
  <si>
    <r>
      <t>11</t>
    </r>
    <r>
      <rPr>
        <sz val="11"/>
        <rFont val="ＭＳ Ｐ明朝"/>
        <family val="1"/>
        <charset val="128"/>
      </rPr>
      <t>月</t>
    </r>
  </si>
  <si>
    <r>
      <t>12</t>
    </r>
    <r>
      <rPr>
        <sz val="11"/>
        <rFont val="ＭＳ Ｐ明朝"/>
        <family val="1"/>
        <charset val="128"/>
      </rPr>
      <t>月</t>
    </r>
  </si>
  <si>
    <r>
      <rPr>
        <i/>
        <sz val="18"/>
        <rFont val="ＭＳ Ｐ明朝"/>
        <family val="1"/>
        <charset val="128"/>
      </rPr>
      <t>カンザワハダニ寄生虫数（成・幼虫）</t>
    </r>
    <rPh sb="7" eb="9">
      <t>キセイ</t>
    </rPh>
    <rPh sb="9" eb="11">
      <t>チュウスウ</t>
    </rPh>
    <rPh sb="12" eb="13">
      <t>セイ</t>
    </rPh>
    <rPh sb="14" eb="16">
      <t>ヨウチュウ</t>
    </rPh>
    <phoneticPr fontId="2"/>
  </si>
  <si>
    <r>
      <rPr>
        <sz val="12"/>
        <rFont val="ＭＳ Ｐ明朝"/>
        <family val="1"/>
        <charset val="128"/>
      </rPr>
      <t>～</t>
    </r>
    <phoneticPr fontId="2"/>
  </si>
  <si>
    <r>
      <t>1</t>
    </r>
    <r>
      <rPr>
        <sz val="11"/>
        <rFont val="ＭＳ Ｐ明朝"/>
        <family val="1"/>
        <charset val="128"/>
      </rPr>
      <t>月</t>
    </r>
    <phoneticPr fontId="2"/>
  </si>
  <si>
    <r>
      <rPr>
        <i/>
        <sz val="18"/>
        <rFont val="ＭＳ Ｐ明朝"/>
        <family val="1"/>
        <charset val="128"/>
      </rPr>
      <t>チャノコカクモンハマキ　フェロモントラップ誘殺数</t>
    </r>
    <phoneticPr fontId="2"/>
  </si>
  <si>
    <r>
      <rPr>
        <sz val="11"/>
        <rFont val="ＭＳ Ｐ明朝"/>
        <family val="1"/>
        <charset val="128"/>
      </rPr>
      <t>平年（過去</t>
    </r>
    <r>
      <rPr>
        <sz val="11"/>
        <rFont val="Times New Roman"/>
        <family val="1"/>
      </rPr>
      <t>10</t>
    </r>
    <r>
      <rPr>
        <sz val="11"/>
        <rFont val="ＭＳ Ｐ明朝"/>
        <family val="1"/>
        <charset val="128"/>
      </rPr>
      <t>年）</t>
    </r>
    <phoneticPr fontId="2"/>
  </si>
  <si>
    <r>
      <t>S60</t>
    </r>
    <r>
      <rPr>
        <sz val="11"/>
        <rFont val="ＭＳ Ｐ明朝"/>
        <family val="1"/>
        <charset val="128"/>
      </rPr>
      <t>年</t>
    </r>
    <phoneticPr fontId="2"/>
  </si>
  <si>
    <r>
      <t>S61</t>
    </r>
    <r>
      <rPr>
        <sz val="11"/>
        <rFont val="ＭＳ Ｐ明朝"/>
        <family val="1"/>
        <charset val="128"/>
      </rPr>
      <t>年</t>
    </r>
    <phoneticPr fontId="2"/>
  </si>
  <si>
    <r>
      <t>S62</t>
    </r>
    <r>
      <rPr>
        <sz val="11"/>
        <rFont val="ＭＳ Ｐ明朝"/>
        <family val="1"/>
        <charset val="128"/>
      </rPr>
      <t>年</t>
    </r>
  </si>
  <si>
    <r>
      <t>S63</t>
    </r>
    <r>
      <rPr>
        <sz val="11"/>
        <rFont val="ＭＳ Ｐ明朝"/>
        <family val="1"/>
        <charset val="128"/>
      </rPr>
      <t>年</t>
    </r>
  </si>
  <si>
    <r>
      <t>H</t>
    </r>
    <r>
      <rPr>
        <sz val="11"/>
        <rFont val="ＭＳ Ｐ明朝"/>
        <family val="1"/>
        <charset val="128"/>
      </rPr>
      <t>元年</t>
    </r>
  </si>
  <si>
    <r>
      <t>H2</t>
    </r>
    <r>
      <rPr>
        <sz val="11"/>
        <rFont val="ＭＳ Ｐ明朝"/>
        <family val="1"/>
        <charset val="128"/>
      </rPr>
      <t>年</t>
    </r>
  </si>
  <si>
    <r>
      <t>H3</t>
    </r>
    <r>
      <rPr>
        <sz val="11"/>
        <rFont val="ＭＳ Ｐ明朝"/>
        <family val="1"/>
        <charset val="128"/>
      </rPr>
      <t>年</t>
    </r>
  </si>
  <si>
    <r>
      <t>H4</t>
    </r>
    <r>
      <rPr>
        <sz val="11"/>
        <rFont val="ＭＳ Ｐ明朝"/>
        <family val="1"/>
        <charset val="128"/>
      </rPr>
      <t>年</t>
    </r>
  </si>
  <si>
    <r>
      <t>H5</t>
    </r>
    <r>
      <rPr>
        <sz val="11"/>
        <rFont val="ＭＳ Ｐ明朝"/>
        <family val="1"/>
        <charset val="128"/>
      </rPr>
      <t>年</t>
    </r>
  </si>
  <si>
    <r>
      <t>H6</t>
    </r>
    <r>
      <rPr>
        <sz val="11"/>
        <rFont val="ＭＳ Ｐ明朝"/>
        <family val="1"/>
        <charset val="128"/>
      </rPr>
      <t>年</t>
    </r>
  </si>
  <si>
    <r>
      <t>H7</t>
    </r>
    <r>
      <rPr>
        <sz val="11"/>
        <rFont val="ＭＳ Ｐ明朝"/>
        <family val="1"/>
        <charset val="128"/>
      </rPr>
      <t>年</t>
    </r>
  </si>
  <si>
    <r>
      <t>H8</t>
    </r>
    <r>
      <rPr>
        <sz val="11"/>
        <rFont val="ＭＳ Ｐ明朝"/>
        <family val="1"/>
        <charset val="128"/>
      </rPr>
      <t>年</t>
    </r>
  </si>
  <si>
    <r>
      <t>H9</t>
    </r>
    <r>
      <rPr>
        <sz val="11"/>
        <rFont val="ＭＳ Ｐ明朝"/>
        <family val="1"/>
        <charset val="128"/>
      </rPr>
      <t>年</t>
    </r>
  </si>
  <si>
    <r>
      <t>H10</t>
    </r>
    <r>
      <rPr>
        <sz val="11"/>
        <rFont val="ＭＳ Ｐ明朝"/>
        <family val="1"/>
        <charset val="128"/>
      </rPr>
      <t>年</t>
    </r>
  </si>
  <si>
    <r>
      <t>H11</t>
    </r>
    <r>
      <rPr>
        <sz val="11"/>
        <rFont val="ＭＳ Ｐ明朝"/>
        <family val="1"/>
        <charset val="128"/>
      </rPr>
      <t>年</t>
    </r>
  </si>
  <si>
    <r>
      <t>H12</t>
    </r>
    <r>
      <rPr>
        <sz val="11"/>
        <rFont val="ＭＳ Ｐ明朝"/>
        <family val="1"/>
        <charset val="128"/>
      </rPr>
      <t>年</t>
    </r>
  </si>
  <si>
    <r>
      <t>H13</t>
    </r>
    <r>
      <rPr>
        <sz val="11"/>
        <rFont val="ＭＳ Ｐ明朝"/>
        <family val="1"/>
        <charset val="128"/>
      </rPr>
      <t>年</t>
    </r>
  </si>
  <si>
    <r>
      <t>H14</t>
    </r>
    <r>
      <rPr>
        <sz val="11"/>
        <rFont val="ＭＳ Ｐ明朝"/>
        <family val="1"/>
        <charset val="128"/>
      </rPr>
      <t>年</t>
    </r>
  </si>
  <si>
    <r>
      <t>H15</t>
    </r>
    <r>
      <rPr>
        <sz val="11"/>
        <rFont val="ＭＳ Ｐ明朝"/>
        <family val="1"/>
        <charset val="128"/>
      </rPr>
      <t>年</t>
    </r>
  </si>
  <si>
    <r>
      <t>H16</t>
    </r>
    <r>
      <rPr>
        <sz val="11"/>
        <rFont val="ＭＳ Ｐ明朝"/>
        <family val="1"/>
        <charset val="128"/>
      </rPr>
      <t>年</t>
    </r>
  </si>
  <si>
    <r>
      <t>H17</t>
    </r>
    <r>
      <rPr>
        <sz val="11"/>
        <rFont val="ＭＳ Ｐ明朝"/>
        <family val="1"/>
        <charset val="128"/>
      </rPr>
      <t>年</t>
    </r>
  </si>
  <si>
    <r>
      <t>H18</t>
    </r>
    <r>
      <rPr>
        <sz val="11"/>
        <rFont val="ＭＳ Ｐ明朝"/>
        <family val="1"/>
        <charset val="128"/>
      </rPr>
      <t>年</t>
    </r>
  </si>
  <si>
    <r>
      <t>H19</t>
    </r>
    <r>
      <rPr>
        <sz val="11"/>
        <rFont val="ＭＳ Ｐ明朝"/>
        <family val="1"/>
        <charset val="128"/>
      </rPr>
      <t>年</t>
    </r>
  </si>
  <si>
    <r>
      <t>H20</t>
    </r>
    <r>
      <rPr>
        <sz val="11"/>
        <rFont val="ＭＳ Ｐ明朝"/>
        <family val="1"/>
        <charset val="128"/>
      </rPr>
      <t>年</t>
    </r>
  </si>
  <si>
    <r>
      <t>H23</t>
    </r>
    <r>
      <rPr>
        <sz val="11"/>
        <rFont val="ＭＳ Ｐ明朝"/>
        <family val="1"/>
        <charset val="128"/>
      </rPr>
      <t>年</t>
    </r>
    <phoneticPr fontId="2"/>
  </si>
  <si>
    <r>
      <t>H29</t>
    </r>
    <r>
      <rPr>
        <sz val="11"/>
        <rFont val="ＭＳ Ｐ明朝"/>
        <family val="1"/>
        <charset val="128"/>
      </rPr>
      <t>年</t>
    </r>
    <phoneticPr fontId="2"/>
  </si>
  <si>
    <r>
      <rPr>
        <i/>
        <sz val="18"/>
        <rFont val="ＭＳ Ｐ明朝"/>
        <family val="1"/>
        <charset val="128"/>
      </rPr>
      <t>チャハマキ　フェロモントラップ誘殺数</t>
    </r>
  </si>
  <si>
    <r>
      <t>H29年</t>
    </r>
    <r>
      <rPr>
        <sz val="11"/>
        <rFont val="ＭＳ Ｐ明朝"/>
        <family val="1"/>
        <charset val="128"/>
      </rPr>
      <t/>
    </r>
    <rPh sb="3" eb="4">
      <t>ネン</t>
    </rPh>
    <phoneticPr fontId="2"/>
  </si>
  <si>
    <r>
      <t>H30</t>
    </r>
    <r>
      <rPr>
        <sz val="11"/>
        <rFont val="ＭＳ Ｐ明朝"/>
        <family val="1"/>
        <charset val="128"/>
      </rPr>
      <t>年</t>
    </r>
    <rPh sb="3" eb="4">
      <t>ネン</t>
    </rPh>
    <phoneticPr fontId="2"/>
  </si>
  <si>
    <r>
      <t>H30年</t>
    </r>
    <r>
      <rPr>
        <sz val="11"/>
        <rFont val="ＭＳ Ｐ明朝"/>
        <family val="1"/>
        <charset val="128"/>
      </rPr>
      <t/>
    </r>
    <rPh sb="3" eb="4">
      <t>ネン</t>
    </rPh>
    <phoneticPr fontId="2"/>
  </si>
  <si>
    <t>3月</t>
  </si>
  <si>
    <t>4月</t>
  </si>
  <si>
    <t>6月</t>
  </si>
  <si>
    <t>7月</t>
  </si>
  <si>
    <t>8月</t>
  </si>
  <si>
    <t>9月</t>
  </si>
  <si>
    <t>10月</t>
  </si>
  <si>
    <t>11月</t>
  </si>
  <si>
    <r>
      <rPr>
        <sz val="11"/>
        <rFont val="ＭＳ Ｐ明朝"/>
        <family val="1"/>
        <charset val="128"/>
      </rPr>
      <t>設置日</t>
    </r>
    <rPh sb="0" eb="2">
      <t>セッチ</t>
    </rPh>
    <rPh sb="2" eb="3">
      <t>ヒ</t>
    </rPh>
    <phoneticPr fontId="2"/>
  </si>
  <si>
    <r>
      <rPr>
        <sz val="11"/>
        <rFont val="ＭＳ Ｐ明朝"/>
        <family val="1"/>
        <charset val="128"/>
      </rPr>
      <t>初飛来日</t>
    </r>
    <rPh sb="0" eb="1">
      <t>ショ</t>
    </rPh>
    <rPh sb="1" eb="3">
      <t>ヒライ</t>
    </rPh>
    <rPh sb="3" eb="4">
      <t>ヒ</t>
    </rPh>
    <phoneticPr fontId="2"/>
  </si>
  <si>
    <r>
      <rPr>
        <sz val="11"/>
        <rFont val="ＭＳ Ｐ明朝"/>
        <family val="1"/>
        <charset val="128"/>
      </rPr>
      <t>越冬世代ピーク</t>
    </r>
    <rPh sb="0" eb="2">
      <t>エットウ</t>
    </rPh>
    <rPh sb="2" eb="4">
      <t>セダイ</t>
    </rPh>
    <phoneticPr fontId="2"/>
  </si>
  <si>
    <r>
      <t>3</t>
    </r>
    <r>
      <rPr>
        <sz val="11"/>
        <rFont val="ＭＳ Ｐ明朝"/>
        <family val="1"/>
        <charset val="128"/>
      </rPr>
      <t>月</t>
    </r>
    <phoneticPr fontId="2"/>
  </si>
  <si>
    <r>
      <t>4</t>
    </r>
    <r>
      <rPr>
        <sz val="11"/>
        <rFont val="ＭＳ Ｐ明朝"/>
        <family val="1"/>
        <charset val="128"/>
      </rPr>
      <t>月</t>
    </r>
    <phoneticPr fontId="2"/>
  </si>
  <si>
    <r>
      <t>6</t>
    </r>
    <r>
      <rPr>
        <sz val="11"/>
        <rFont val="ＭＳ Ｐ明朝"/>
        <family val="1"/>
        <charset val="128"/>
      </rPr>
      <t>月</t>
    </r>
    <phoneticPr fontId="2"/>
  </si>
  <si>
    <r>
      <t>7</t>
    </r>
    <r>
      <rPr>
        <sz val="11"/>
        <rFont val="ＭＳ Ｐ明朝"/>
        <family val="1"/>
        <charset val="128"/>
      </rPr>
      <t>月</t>
    </r>
    <phoneticPr fontId="2"/>
  </si>
  <si>
    <r>
      <t>8</t>
    </r>
    <r>
      <rPr>
        <sz val="11"/>
        <rFont val="ＭＳ Ｐ明朝"/>
        <family val="1"/>
        <charset val="128"/>
      </rPr>
      <t>月</t>
    </r>
    <phoneticPr fontId="2"/>
  </si>
  <si>
    <r>
      <t>9</t>
    </r>
    <r>
      <rPr>
        <sz val="11"/>
        <rFont val="ＭＳ Ｐ明朝"/>
        <family val="1"/>
        <charset val="128"/>
      </rPr>
      <t>月</t>
    </r>
    <phoneticPr fontId="2"/>
  </si>
  <si>
    <r>
      <t>10</t>
    </r>
    <r>
      <rPr>
        <sz val="11"/>
        <rFont val="ＭＳ Ｐ明朝"/>
        <family val="1"/>
        <charset val="128"/>
      </rPr>
      <t>月</t>
    </r>
    <phoneticPr fontId="2"/>
  </si>
  <si>
    <r>
      <t>11</t>
    </r>
    <r>
      <rPr>
        <sz val="11"/>
        <rFont val="ＭＳ Ｐ明朝"/>
        <family val="1"/>
        <charset val="128"/>
      </rPr>
      <t>月</t>
    </r>
    <phoneticPr fontId="2"/>
  </si>
  <si>
    <t>1半旬</t>
  </si>
  <si>
    <t>2半旬</t>
  </si>
  <si>
    <t>3半旬</t>
  </si>
  <si>
    <t>4半旬</t>
  </si>
  <si>
    <t>5半旬</t>
  </si>
  <si>
    <t>6半旬</t>
  </si>
  <si>
    <r>
      <t>1</t>
    </r>
    <r>
      <rPr>
        <sz val="11"/>
        <rFont val="ＭＳ Ｐ明朝"/>
        <family val="1"/>
        <charset val="128"/>
      </rPr>
      <t>半旬</t>
    </r>
    <phoneticPr fontId="2"/>
  </si>
  <si>
    <r>
      <t>2</t>
    </r>
    <r>
      <rPr>
        <sz val="11"/>
        <rFont val="ＭＳ Ｐ明朝"/>
        <family val="1"/>
        <charset val="128"/>
      </rPr>
      <t>半旬</t>
    </r>
    <phoneticPr fontId="2"/>
  </si>
  <si>
    <r>
      <t>3</t>
    </r>
    <r>
      <rPr>
        <sz val="11"/>
        <rFont val="ＭＳ Ｐ明朝"/>
        <family val="1"/>
        <charset val="128"/>
      </rPr>
      <t>半旬</t>
    </r>
    <phoneticPr fontId="2"/>
  </si>
  <si>
    <r>
      <t>4</t>
    </r>
    <r>
      <rPr>
        <sz val="11"/>
        <rFont val="ＭＳ Ｐ明朝"/>
        <family val="1"/>
        <charset val="128"/>
      </rPr>
      <t>半旬</t>
    </r>
    <phoneticPr fontId="2"/>
  </si>
  <si>
    <r>
      <t>5</t>
    </r>
    <r>
      <rPr>
        <sz val="11"/>
        <rFont val="ＭＳ Ｐ明朝"/>
        <family val="1"/>
        <charset val="128"/>
      </rPr>
      <t>半旬</t>
    </r>
    <phoneticPr fontId="2"/>
  </si>
  <si>
    <r>
      <t>6</t>
    </r>
    <r>
      <rPr>
        <sz val="11"/>
        <rFont val="ＭＳ Ｐ明朝"/>
        <family val="1"/>
        <charset val="128"/>
      </rPr>
      <t>半旬</t>
    </r>
    <phoneticPr fontId="2"/>
  </si>
  <si>
    <r>
      <t>1</t>
    </r>
    <r>
      <rPr>
        <sz val="11"/>
        <rFont val="ＭＳ Ｐ明朝"/>
        <family val="1"/>
        <charset val="128"/>
      </rPr>
      <t>月</t>
    </r>
    <phoneticPr fontId="2"/>
  </si>
  <si>
    <r>
      <t>2</t>
    </r>
    <r>
      <rPr>
        <sz val="11"/>
        <rFont val="ＭＳ Ｐ明朝"/>
        <family val="1"/>
        <charset val="128"/>
      </rPr>
      <t>月</t>
    </r>
    <rPh sb="1" eb="2">
      <t>ガツ</t>
    </rPh>
    <phoneticPr fontId="2"/>
  </si>
  <si>
    <r>
      <t>H30年</t>
    </r>
    <r>
      <rPr>
        <sz val="11"/>
        <rFont val="ＭＳ Ｐ明朝"/>
        <family val="1"/>
        <charset val="128"/>
      </rPr>
      <t/>
    </r>
  </si>
  <si>
    <r>
      <t>10</t>
    </r>
    <r>
      <rPr>
        <sz val="10"/>
        <rFont val="ＭＳ Ｐ明朝"/>
        <family val="1"/>
        <charset val="128"/>
      </rPr>
      <t>年平均</t>
    </r>
    <rPh sb="2" eb="3">
      <t>ネン</t>
    </rPh>
    <rPh sb="3" eb="5">
      <t>ヘイキン</t>
    </rPh>
    <phoneticPr fontId="2"/>
  </si>
  <si>
    <r>
      <t>H29</t>
    </r>
    <r>
      <rPr>
        <sz val="11"/>
        <rFont val="ＭＳ Ｐ明朝"/>
        <family val="1"/>
        <charset val="128"/>
      </rPr>
      <t>年</t>
    </r>
    <phoneticPr fontId="2"/>
  </si>
  <si>
    <r>
      <rPr>
        <sz val="10"/>
        <rFont val="ＭＳ Ｐ明朝"/>
        <family val="1"/>
        <charset val="128"/>
      </rPr>
      <t>クワシロカイガラムシ</t>
    </r>
    <phoneticPr fontId="2"/>
  </si>
  <si>
    <r>
      <rPr>
        <sz val="10"/>
        <rFont val="ＭＳ Ｐ明朝"/>
        <family val="1"/>
        <charset val="128"/>
      </rPr>
      <t>調査日</t>
    </r>
    <rPh sb="0" eb="3">
      <t>チョウサビ</t>
    </rPh>
    <phoneticPr fontId="2"/>
  </si>
  <si>
    <r>
      <t>JPPNet</t>
    </r>
    <r>
      <rPr>
        <sz val="10"/>
        <rFont val="ＭＳ Ｐ明朝"/>
        <family val="1"/>
        <charset val="128"/>
      </rPr>
      <t xml:space="preserve">
平年値</t>
    </r>
    <r>
      <rPr>
        <sz val="10"/>
        <rFont val="Times New Roman"/>
        <family val="1"/>
      </rPr>
      <t>+0.5</t>
    </r>
    <r>
      <rPr>
        <sz val="10"/>
        <rFont val="ＭＳ Ｐ明朝"/>
        <family val="1"/>
        <charset val="128"/>
      </rPr>
      <t>℃</t>
    </r>
    <rPh sb="7" eb="10">
      <t>ヘイネンチ</t>
    </rPh>
    <phoneticPr fontId="2"/>
  </si>
  <si>
    <r>
      <t>H31年</t>
    </r>
    <r>
      <rPr>
        <sz val="11"/>
        <rFont val="ＭＳ Ｐ明朝"/>
        <family val="1"/>
        <charset val="128"/>
      </rPr>
      <t/>
    </r>
    <rPh sb="3" eb="4">
      <t>ネン</t>
    </rPh>
    <phoneticPr fontId="2"/>
  </si>
  <si>
    <r>
      <t>H31年</t>
    </r>
    <r>
      <rPr>
        <sz val="11"/>
        <rFont val="ＭＳ Ｐ明朝"/>
        <family val="1"/>
        <charset val="128"/>
      </rPr>
      <t/>
    </r>
  </si>
  <si>
    <r>
      <t>3</t>
    </r>
    <r>
      <rPr>
        <sz val="11"/>
        <rFont val="ＭＳ Ｐ明朝"/>
        <family val="1"/>
        <charset val="128"/>
      </rPr>
      <t>月から2号園に変更（3号園はハダニ多いため薬剤試験区とした）</t>
    </r>
    <rPh sb="1" eb="2">
      <t>ガツ</t>
    </rPh>
    <rPh sb="5" eb="6">
      <t>ゴウ</t>
    </rPh>
    <rPh sb="6" eb="7">
      <t>エン</t>
    </rPh>
    <rPh sb="8" eb="10">
      <t>ヘンコウ</t>
    </rPh>
    <rPh sb="12" eb="13">
      <t>ゴウ</t>
    </rPh>
    <rPh sb="13" eb="14">
      <t>エン</t>
    </rPh>
    <rPh sb="18" eb="19">
      <t>オオ</t>
    </rPh>
    <rPh sb="22" eb="24">
      <t>ヤクザイ</t>
    </rPh>
    <rPh sb="24" eb="26">
      <t>シケン</t>
    </rPh>
    <rPh sb="26" eb="27">
      <t>ク</t>
    </rPh>
    <phoneticPr fontId="2"/>
  </si>
  <si>
    <t>平年（10ヵ年）</t>
    <rPh sb="0" eb="2">
      <t>ヘイネン</t>
    </rPh>
    <rPh sb="6" eb="7">
      <t>ネン</t>
    </rPh>
    <phoneticPr fontId="2"/>
  </si>
  <si>
    <t>クワシロカイガラムシ第一世代ふ化状況</t>
    <rPh sb="10" eb="12">
      <t>ダイイチ</t>
    </rPh>
    <rPh sb="12" eb="14">
      <t>セダイ</t>
    </rPh>
    <rPh sb="15" eb="16">
      <t>カ</t>
    </rPh>
    <rPh sb="16" eb="18">
      <t>ジョウキョウ</t>
    </rPh>
    <phoneticPr fontId="2"/>
  </si>
  <si>
    <t>調査日</t>
    <rPh sb="0" eb="3">
      <t>チョウサビ</t>
    </rPh>
    <phoneticPr fontId="2"/>
  </si>
  <si>
    <t>産卵雌率(%)</t>
    <rPh sb="0" eb="2">
      <t>サンラン</t>
    </rPh>
    <rPh sb="2" eb="3">
      <t>メス</t>
    </rPh>
    <rPh sb="3" eb="4">
      <t>リツ</t>
    </rPh>
    <phoneticPr fontId="2"/>
  </si>
  <si>
    <t>半数ふ化卵塊率(%)</t>
    <rPh sb="0" eb="2">
      <t>ハンスウ</t>
    </rPh>
    <rPh sb="3" eb="4">
      <t>カ</t>
    </rPh>
    <rPh sb="4" eb="5">
      <t>ラン</t>
    </rPh>
    <rPh sb="5" eb="6">
      <t>カイ</t>
    </rPh>
    <rPh sb="6" eb="7">
      <t>リツ</t>
    </rPh>
    <phoneticPr fontId="2"/>
  </si>
  <si>
    <t>ふ化最盛日</t>
    <rPh sb="1" eb="2">
      <t>カ</t>
    </rPh>
    <rPh sb="2" eb="4">
      <t>サイセイ</t>
    </rPh>
    <rPh sb="4" eb="5">
      <t>ヒ</t>
    </rPh>
    <phoneticPr fontId="2"/>
  </si>
  <si>
    <t>平年　5月17日</t>
    <rPh sb="0" eb="2">
      <t>ヘイネン</t>
    </rPh>
    <rPh sb="4" eb="5">
      <t>ガツ</t>
    </rPh>
    <rPh sb="7" eb="8">
      <t>ヒ</t>
    </rPh>
    <phoneticPr fontId="2"/>
  </si>
  <si>
    <t>本年　5月21日</t>
    <rPh sb="0" eb="2">
      <t>ホンネン</t>
    </rPh>
    <rPh sb="4" eb="5">
      <t>ガツ</t>
    </rPh>
    <rPh sb="7" eb="8">
      <t>ヒ</t>
    </rPh>
    <phoneticPr fontId="2"/>
  </si>
  <si>
    <t>R2</t>
    <phoneticPr fontId="2"/>
  </si>
  <si>
    <t>R2</t>
    <phoneticPr fontId="2"/>
  </si>
  <si>
    <t>R2</t>
    <phoneticPr fontId="2"/>
  </si>
  <si>
    <t>平年（過去10年）</t>
    <rPh sb="0" eb="2">
      <t>ヘイネン</t>
    </rPh>
    <phoneticPr fontId="2"/>
  </si>
  <si>
    <t>R3</t>
  </si>
  <si>
    <t>R4</t>
  </si>
  <si>
    <t>R5</t>
  </si>
  <si>
    <t>R6</t>
  </si>
  <si>
    <r>
      <t>SE</t>
    </r>
    <r>
      <rPr>
        <sz val="11"/>
        <rFont val="ＭＳ Ｐ明朝"/>
        <family val="1"/>
        <charset val="128"/>
      </rPr>
      <t>ルアー</t>
    </r>
    <phoneticPr fontId="2"/>
  </si>
  <si>
    <t>各茶期ごとの摘採葉部分の発病数をカウント</t>
    <rPh sb="0" eb="1">
      <t>カク</t>
    </rPh>
    <rPh sb="1" eb="2">
      <t>チャ</t>
    </rPh>
    <rPh sb="2" eb="3">
      <t>キ</t>
    </rPh>
    <rPh sb="6" eb="8">
      <t>テキサイ</t>
    </rPh>
    <rPh sb="8" eb="9">
      <t>ハ</t>
    </rPh>
    <rPh sb="9" eb="11">
      <t>ブブン</t>
    </rPh>
    <rPh sb="12" eb="14">
      <t>ハツビョウ</t>
    </rPh>
    <rPh sb="14" eb="15">
      <t>スウ</t>
    </rPh>
    <phoneticPr fontId="2"/>
  </si>
  <si>
    <t>半数孵化卵塊率50％以上で孵化最盛日</t>
    <rPh sb="0" eb="2">
      <t>ハンスウ</t>
    </rPh>
    <rPh sb="2" eb="4">
      <t>フカ</t>
    </rPh>
    <rPh sb="4" eb="5">
      <t>ラン</t>
    </rPh>
    <rPh sb="5" eb="6">
      <t>カタマリ</t>
    </rPh>
    <rPh sb="6" eb="7">
      <t>リツ</t>
    </rPh>
    <rPh sb="10" eb="12">
      <t>イジョウ</t>
    </rPh>
    <rPh sb="13" eb="15">
      <t>フカ</t>
    </rPh>
    <rPh sb="15" eb="17">
      <t>サイセイ</t>
    </rPh>
    <rPh sb="17" eb="18">
      <t>ヒ</t>
    </rPh>
    <phoneticPr fontId="2"/>
  </si>
  <si>
    <t>実測平年　7月16日</t>
    <rPh sb="0" eb="2">
      <t>ジッソク</t>
    </rPh>
    <rPh sb="2" eb="4">
      <t>ヘイネン</t>
    </rPh>
    <rPh sb="6" eb="7">
      <t>ガツ</t>
    </rPh>
    <rPh sb="9" eb="10">
      <t>ヒ</t>
    </rPh>
    <phoneticPr fontId="2"/>
  </si>
  <si>
    <t>クワシロカイガラムシ第二世代ふ化状況</t>
    <rPh sb="10" eb="12">
      <t>ダイニ</t>
    </rPh>
    <rPh sb="12" eb="14">
      <t>セダイ</t>
    </rPh>
    <rPh sb="15" eb="16">
      <t>カ</t>
    </rPh>
    <rPh sb="16" eb="18">
      <t>ジョウキョウ</t>
    </rPh>
    <phoneticPr fontId="2"/>
  </si>
  <si>
    <t>H27-H31まではASルアー、R2よりSEルアー</t>
    <phoneticPr fontId="2"/>
  </si>
  <si>
    <t>摘採部分の病斑を平均して算出</t>
    <rPh sb="0" eb="2">
      <t>テキサイ</t>
    </rPh>
    <rPh sb="2" eb="4">
      <t>ブブン</t>
    </rPh>
    <rPh sb="5" eb="7">
      <t>ビョウハン</t>
    </rPh>
    <rPh sb="8" eb="10">
      <t>ヘイキン</t>
    </rPh>
    <rPh sb="12" eb="14">
      <t>サンシュツ</t>
    </rPh>
    <phoneticPr fontId="2"/>
  </si>
  <si>
    <t>各茶期ごとの総病葉数（新葉、古葉）をカウント</t>
    <rPh sb="0" eb="1">
      <t>カク</t>
    </rPh>
    <rPh sb="1" eb="2">
      <t>チャ</t>
    </rPh>
    <rPh sb="2" eb="3">
      <t>キ</t>
    </rPh>
    <rPh sb="6" eb="7">
      <t>ソウ</t>
    </rPh>
    <rPh sb="7" eb="9">
      <t>ワクラバ</t>
    </rPh>
    <rPh sb="9" eb="10">
      <t>スウ</t>
    </rPh>
    <rPh sb="11" eb="13">
      <t>シンヨウ</t>
    </rPh>
    <rPh sb="14" eb="15">
      <t>フル</t>
    </rPh>
    <rPh sb="15" eb="16">
      <t>ハ</t>
    </rPh>
    <phoneticPr fontId="2"/>
  </si>
  <si>
    <r>
      <t>2</t>
    </r>
    <r>
      <rPr>
        <sz val="11"/>
        <rFont val="ＭＳ Ｐ明朝"/>
        <family val="1"/>
        <charset val="128"/>
      </rPr>
      <t>月から１１号園に変更（作況区で調査することとした）</t>
    </r>
    <rPh sb="1" eb="2">
      <t>ガツ</t>
    </rPh>
    <rPh sb="6" eb="7">
      <t>ゴウ</t>
    </rPh>
    <rPh sb="7" eb="8">
      <t>エン</t>
    </rPh>
    <rPh sb="9" eb="11">
      <t>ヘンコウ</t>
    </rPh>
    <rPh sb="12" eb="14">
      <t>サッキョウ</t>
    </rPh>
    <rPh sb="14" eb="15">
      <t>ク</t>
    </rPh>
    <rPh sb="16" eb="18">
      <t>チョウサ</t>
    </rPh>
    <phoneticPr fontId="2"/>
  </si>
  <si>
    <t>カンザワハダニ100葉中の産卵合計</t>
    <rPh sb="10" eb="11">
      <t>ハ</t>
    </rPh>
    <rPh sb="11" eb="12">
      <t>チュウ</t>
    </rPh>
    <rPh sb="13" eb="15">
      <t>サンラン</t>
    </rPh>
    <rPh sb="15" eb="17">
      <t>ゴウケイ</t>
    </rPh>
    <phoneticPr fontId="59"/>
  </si>
  <si>
    <t>旬</t>
    <rPh sb="0" eb="1">
      <t>シュン</t>
    </rPh>
    <phoneticPr fontId="59"/>
  </si>
  <si>
    <t>5年平均</t>
    <rPh sb="1" eb="2">
      <t>ネン</t>
    </rPh>
    <rPh sb="2" eb="4">
      <t>ヘイキン</t>
    </rPh>
    <phoneticPr fontId="59"/>
  </si>
  <si>
    <t>1月</t>
    <rPh sb="1" eb="2">
      <t>ガツ</t>
    </rPh>
    <phoneticPr fontId="59"/>
  </si>
  <si>
    <t>上</t>
    <rPh sb="0" eb="1">
      <t>ウエ</t>
    </rPh>
    <phoneticPr fontId="59"/>
  </si>
  <si>
    <t>中</t>
    <rPh sb="0" eb="1">
      <t>ナカ</t>
    </rPh>
    <phoneticPr fontId="59"/>
  </si>
  <si>
    <t>下</t>
    <rPh sb="0" eb="1">
      <t>ゲ</t>
    </rPh>
    <phoneticPr fontId="59"/>
  </si>
  <si>
    <t>2月</t>
  </si>
  <si>
    <t>2018は前年2017の越冬世代が多かったため、多発。</t>
    <rPh sb="24" eb="26">
      <t>タハツ</t>
    </rPh>
    <phoneticPr fontId="59"/>
  </si>
  <si>
    <t>年数はすべて2019年とすること！</t>
    <rPh sb="0" eb="2">
      <t>ネンスウ</t>
    </rPh>
    <rPh sb="10" eb="11">
      <t>ネン</t>
    </rPh>
    <phoneticPr fontId="59"/>
  </si>
  <si>
    <t>春期のハダニ発生予測</t>
    <rPh sb="0" eb="1">
      <t>ハル</t>
    </rPh>
    <rPh sb="1" eb="2">
      <t>キ</t>
    </rPh>
    <rPh sb="6" eb="8">
      <t>ハッセイ</t>
    </rPh>
    <rPh sb="8" eb="10">
      <t>ヨソク</t>
    </rPh>
    <phoneticPr fontId="59"/>
  </si>
  <si>
    <t>4/2日まではメッシュデータで温度を予測（以降は平年値）</t>
    <rPh sb="3" eb="4">
      <t>ニチ</t>
    </rPh>
    <rPh sb="15" eb="17">
      <t>オンド</t>
    </rPh>
    <rPh sb="18" eb="20">
      <t>ヨソク</t>
    </rPh>
    <rPh sb="21" eb="23">
      <t>イコウ</t>
    </rPh>
    <rPh sb="24" eb="27">
      <t>ヘイネンチ</t>
    </rPh>
    <phoneticPr fontId="59"/>
  </si>
  <si>
    <t>2015年</t>
    <rPh sb="4" eb="5">
      <t>ネン</t>
    </rPh>
    <phoneticPr fontId="59"/>
  </si>
  <si>
    <t>2016年</t>
    <rPh sb="4" eb="5">
      <t>ネン</t>
    </rPh>
    <phoneticPr fontId="59"/>
  </si>
  <si>
    <t>2017年</t>
    <rPh sb="4" eb="5">
      <t>ネン</t>
    </rPh>
    <phoneticPr fontId="59"/>
  </si>
  <si>
    <t>2018年</t>
    <rPh sb="4" eb="5">
      <t>ネン</t>
    </rPh>
    <phoneticPr fontId="59"/>
  </si>
  <si>
    <t>2019年</t>
    <rPh sb="4" eb="5">
      <t>ネン</t>
    </rPh>
    <phoneticPr fontId="59"/>
  </si>
  <si>
    <t>2020年</t>
    <rPh sb="4" eb="5">
      <t>ネン</t>
    </rPh>
    <phoneticPr fontId="59"/>
  </si>
  <si>
    <t>5ヵ年平均</t>
    <rPh sb="2" eb="3">
      <t>ネン</t>
    </rPh>
    <rPh sb="3" eb="5">
      <t>ヘイキン</t>
    </rPh>
    <phoneticPr fontId="59"/>
  </si>
  <si>
    <t>ハダニ卵確認日
（実測値）</t>
    <rPh sb="3" eb="4">
      <t>タマゴ</t>
    </rPh>
    <rPh sb="4" eb="6">
      <t>カクニン</t>
    </rPh>
    <rPh sb="6" eb="7">
      <t>ビ</t>
    </rPh>
    <rPh sb="9" eb="12">
      <t>ジッソクチ</t>
    </rPh>
    <phoneticPr fontId="59"/>
  </si>
  <si>
    <t>ハダニふ化確認日（実測値）</t>
    <rPh sb="4" eb="5">
      <t>カ</t>
    </rPh>
    <rPh sb="5" eb="7">
      <t>カクニン</t>
    </rPh>
    <rPh sb="7" eb="8">
      <t>ヒ</t>
    </rPh>
    <rPh sb="9" eb="12">
      <t>ジッソクチ</t>
    </rPh>
    <phoneticPr fontId="59"/>
  </si>
  <si>
    <t>日別予測値</t>
    <rPh sb="0" eb="1">
      <t>ニチ</t>
    </rPh>
    <rPh sb="1" eb="2">
      <t>ベツ</t>
    </rPh>
    <rPh sb="2" eb="4">
      <t>ヨソク</t>
    </rPh>
    <rPh sb="4" eb="5">
      <t>チ</t>
    </rPh>
    <phoneticPr fontId="59"/>
  </si>
  <si>
    <t>時別予測値</t>
    <rPh sb="0" eb="1">
      <t>トキ</t>
    </rPh>
    <rPh sb="1" eb="2">
      <t>ベツ</t>
    </rPh>
    <rPh sb="2" eb="4">
      <t>ヨソク</t>
    </rPh>
    <rPh sb="4" eb="5">
      <t>チ</t>
    </rPh>
    <phoneticPr fontId="59"/>
  </si>
  <si>
    <t>ダニ殺卵散布時期</t>
    <rPh sb="2" eb="3">
      <t>サツ</t>
    </rPh>
    <rPh sb="3" eb="4">
      <t>タマゴ</t>
    </rPh>
    <rPh sb="4" eb="6">
      <t>サンプ</t>
    </rPh>
    <rPh sb="6" eb="8">
      <t>ジキ</t>
    </rPh>
    <phoneticPr fontId="59"/>
  </si>
  <si>
    <t>なし</t>
    <phoneticPr fontId="59"/>
  </si>
  <si>
    <t>雌数</t>
    <rPh sb="0" eb="1">
      <t>メス</t>
    </rPh>
    <rPh sb="1" eb="2">
      <t>スウ</t>
    </rPh>
    <phoneticPr fontId="2"/>
  </si>
  <si>
    <t>調査日</t>
    <rPh sb="0" eb="2">
      <t>チョウサ</t>
    </rPh>
    <rPh sb="2" eb="3">
      <t>ビ</t>
    </rPh>
    <phoneticPr fontId="2"/>
  </si>
  <si>
    <t>半数孵化
卵塊数</t>
    <rPh sb="7" eb="8">
      <t>スウ</t>
    </rPh>
    <phoneticPr fontId="2"/>
  </si>
  <si>
    <t>孵化
卵塊数</t>
    <rPh sb="0" eb="2">
      <t>フカ</t>
    </rPh>
    <rPh sb="3" eb="5">
      <t>ランカイ</t>
    </rPh>
    <rPh sb="5" eb="6">
      <t>スウ</t>
    </rPh>
    <phoneticPr fontId="2"/>
  </si>
  <si>
    <t>産卵
雌数</t>
    <rPh sb="0" eb="2">
      <t>サンラン</t>
    </rPh>
    <rPh sb="3" eb="4">
      <t>メス</t>
    </rPh>
    <rPh sb="4" eb="5">
      <t>スウ</t>
    </rPh>
    <phoneticPr fontId="2"/>
  </si>
  <si>
    <t>有効積算温度</t>
    <rPh sb="0" eb="2">
      <t>ユウコウ</t>
    </rPh>
    <rPh sb="2" eb="4">
      <t>セキサン</t>
    </rPh>
    <rPh sb="4" eb="6">
      <t>オンド</t>
    </rPh>
    <phoneticPr fontId="2"/>
  </si>
  <si>
    <t>調査日</t>
    <rPh sb="0" eb="2">
      <t>チョウサ</t>
    </rPh>
    <rPh sb="2" eb="3">
      <t>ニチ</t>
    </rPh>
    <phoneticPr fontId="2"/>
  </si>
  <si>
    <t>茶の生育ステージ</t>
    <rPh sb="0" eb="1">
      <t>チャ</t>
    </rPh>
    <rPh sb="2" eb="4">
      <t>セイイク</t>
    </rPh>
    <phoneticPr fontId="2"/>
  </si>
  <si>
    <t>成幼若虫寄生葉数</t>
    <rPh sb="0" eb="1">
      <t>セイ</t>
    </rPh>
    <rPh sb="1" eb="2">
      <t>ヨウ</t>
    </rPh>
    <rPh sb="2" eb="3">
      <t>ワカ</t>
    </rPh>
    <rPh sb="3" eb="4">
      <t>ムシ</t>
    </rPh>
    <rPh sb="4" eb="6">
      <t>キセイ</t>
    </rPh>
    <rPh sb="6" eb="7">
      <t>ヨウ</t>
    </rPh>
    <rPh sb="7" eb="8">
      <t>スウ</t>
    </rPh>
    <phoneticPr fontId="2"/>
  </si>
  <si>
    <t>葉</t>
    <rPh sb="0" eb="1">
      <t>ヨウ</t>
    </rPh>
    <phoneticPr fontId="2"/>
  </si>
  <si>
    <t>/100葉</t>
    <rPh sb="4" eb="5">
      <t>ヨウ</t>
    </rPh>
    <phoneticPr fontId="2"/>
  </si>
  <si>
    <t>成幼若虫寄生頭数</t>
    <rPh sb="0" eb="1">
      <t>セイ</t>
    </rPh>
    <rPh sb="1" eb="2">
      <t>ヨウ</t>
    </rPh>
    <rPh sb="2" eb="3">
      <t>ワカ</t>
    </rPh>
    <rPh sb="3" eb="4">
      <t>ムシ</t>
    </rPh>
    <rPh sb="4" eb="6">
      <t>キセイ</t>
    </rPh>
    <rPh sb="6" eb="7">
      <t>トウ</t>
    </rPh>
    <rPh sb="7" eb="8">
      <t>スウ</t>
    </rPh>
    <phoneticPr fontId="2"/>
  </si>
  <si>
    <t>頭</t>
    <rPh sb="0" eb="1">
      <t>トウ</t>
    </rPh>
    <phoneticPr fontId="2"/>
  </si>
  <si>
    <t>合計</t>
    <rPh sb="0" eb="2">
      <t>ゴウケイ</t>
    </rPh>
    <phoneticPr fontId="2"/>
  </si>
  <si>
    <t>ハダニ</t>
    <phoneticPr fontId="2"/>
  </si>
  <si>
    <t>卵</t>
    <phoneticPr fontId="2"/>
  </si>
  <si>
    <t>幼虫</t>
    <rPh sb="0" eb="2">
      <t>ヨウチュウ</t>
    </rPh>
    <phoneticPr fontId="2"/>
  </si>
  <si>
    <t>若虫</t>
    <rPh sb="0" eb="1">
      <t>ワカ</t>
    </rPh>
    <rPh sb="1" eb="2">
      <t>ムシ</t>
    </rPh>
    <phoneticPr fontId="2"/>
  </si>
  <si>
    <t>成虫</t>
    <rPh sb="0" eb="2">
      <t>セイチュウ</t>
    </rPh>
    <phoneticPr fontId="2"/>
  </si>
  <si>
    <t>寄生頭数</t>
    <rPh sb="0" eb="2">
      <t>キセイ</t>
    </rPh>
    <rPh sb="2" eb="4">
      <t>トウスウ</t>
    </rPh>
    <phoneticPr fontId="2"/>
  </si>
  <si>
    <t>卵</t>
    <rPh sb="0" eb="1">
      <t>タマゴ</t>
    </rPh>
    <phoneticPr fontId="2"/>
  </si>
  <si>
    <t>寄生葉</t>
    <rPh sb="0" eb="2">
      <t>キセイ</t>
    </rPh>
    <rPh sb="2" eb="3">
      <t>ハ</t>
    </rPh>
    <phoneticPr fontId="2"/>
  </si>
  <si>
    <t>サビ
ダニ</t>
    <phoneticPr fontId="2"/>
  </si>
  <si>
    <t>カブリ
ダニ類</t>
    <rPh sb="6" eb="7">
      <t>ルイ</t>
    </rPh>
    <phoneticPr fontId="2"/>
  </si>
  <si>
    <t>ハダニ
バエ</t>
    <phoneticPr fontId="2"/>
  </si>
  <si>
    <t>ハダニ
アザミウマ</t>
    <phoneticPr fontId="2"/>
  </si>
  <si>
    <t>調査
部位</t>
    <rPh sb="0" eb="2">
      <t>チョウサ</t>
    </rPh>
    <rPh sb="3" eb="5">
      <t>ブイ</t>
    </rPh>
    <phoneticPr fontId="2"/>
  </si>
  <si>
    <t>□旧
□新旧</t>
    <rPh sb="1" eb="2">
      <t>キュウ</t>
    </rPh>
    <rPh sb="4" eb="5">
      <t>シン</t>
    </rPh>
    <rPh sb="5" eb="6">
      <t>キュウ</t>
    </rPh>
    <phoneticPr fontId="2"/>
  </si>
  <si>
    <t>□旧
□新旧</t>
    <phoneticPr fontId="2"/>
  </si>
  <si>
    <t>上旬</t>
    <rPh sb="0" eb="1">
      <t>ウエ</t>
    </rPh>
    <rPh sb="1" eb="2">
      <t>ジュン</t>
    </rPh>
    <phoneticPr fontId="2"/>
  </si>
  <si>
    <t>4月</t>
    <rPh sb="1" eb="2">
      <t>ツキ</t>
    </rPh>
    <phoneticPr fontId="2"/>
  </si>
  <si>
    <t>5月</t>
    <rPh sb="1" eb="2">
      <t>ツキ</t>
    </rPh>
    <phoneticPr fontId="2"/>
  </si>
  <si>
    <t>6月</t>
    <rPh sb="1" eb="2">
      <t>ツキ</t>
    </rPh>
    <phoneticPr fontId="2"/>
  </si>
  <si>
    <t>7月</t>
    <rPh sb="1" eb="2">
      <t>ツキ</t>
    </rPh>
    <phoneticPr fontId="2"/>
  </si>
  <si>
    <t>8月</t>
    <rPh sb="1" eb="2">
      <t>ツキ</t>
    </rPh>
    <phoneticPr fontId="2"/>
  </si>
  <si>
    <t>9月</t>
    <rPh sb="1" eb="2">
      <t>ツキ</t>
    </rPh>
    <phoneticPr fontId="2"/>
  </si>
  <si>
    <t>10月</t>
    <rPh sb="2" eb="3">
      <t>ツキ</t>
    </rPh>
    <phoneticPr fontId="2"/>
  </si>
  <si>
    <t>11月</t>
    <rPh sb="2" eb="3">
      <t>ツキ</t>
    </rPh>
    <phoneticPr fontId="2"/>
  </si>
  <si>
    <t>12月</t>
    <rPh sb="2" eb="3">
      <t>ツキ</t>
    </rPh>
    <phoneticPr fontId="2"/>
  </si>
  <si>
    <t>3月</t>
    <rPh sb="1" eb="2">
      <t>ツキ</t>
    </rPh>
    <phoneticPr fontId="2"/>
  </si>
  <si>
    <t>R3</t>
    <phoneticPr fontId="2"/>
  </si>
  <si>
    <t>下旬</t>
    <phoneticPr fontId="2"/>
  </si>
  <si>
    <t>下旬</t>
    <phoneticPr fontId="2"/>
  </si>
  <si>
    <t>下旬</t>
    <phoneticPr fontId="2"/>
  </si>
  <si>
    <t>中旬</t>
    <phoneticPr fontId="2"/>
  </si>
  <si>
    <t>中旬</t>
    <phoneticPr fontId="2"/>
  </si>
  <si>
    <t>中旬</t>
    <phoneticPr fontId="2"/>
  </si>
  <si>
    <t>2月</t>
    <phoneticPr fontId="2"/>
  </si>
  <si>
    <t>2月</t>
    <phoneticPr fontId="2"/>
  </si>
  <si>
    <t>2月</t>
    <phoneticPr fontId="2"/>
  </si>
  <si>
    <t>1月</t>
    <phoneticPr fontId="2"/>
  </si>
  <si>
    <t>数式入力済みセル</t>
    <rPh sb="0" eb="2">
      <t>スウシキ</t>
    </rPh>
    <rPh sb="2" eb="4">
      <t>ニュウリョク</t>
    </rPh>
    <rPh sb="4" eb="5">
      <t>ズ</t>
    </rPh>
    <phoneticPr fontId="2"/>
  </si>
  <si>
    <t>11号園　黄色粘着トラップ（ITシート10×10cm・樹冠面）</t>
    <rPh sb="5" eb="7">
      <t>オウショク</t>
    </rPh>
    <rPh sb="7" eb="9">
      <t>ネンチャク</t>
    </rPh>
    <rPh sb="27" eb="29">
      <t>ジュカン</t>
    </rPh>
    <rPh sb="29" eb="30">
      <t>メン</t>
    </rPh>
    <phoneticPr fontId="2"/>
  </si>
  <si>
    <t>年</t>
    <rPh sb="0" eb="1">
      <t>ネン</t>
    </rPh>
    <phoneticPr fontId="2"/>
  </si>
  <si>
    <t>月</t>
    <rPh sb="0" eb="1">
      <t>ガツ</t>
    </rPh>
    <phoneticPr fontId="2"/>
  </si>
  <si>
    <t>調査期間
(半旬)</t>
    <rPh sb="0" eb="2">
      <t>チョウサ</t>
    </rPh>
    <rPh sb="2" eb="4">
      <t>キカン</t>
    </rPh>
    <rPh sb="6" eb="7">
      <t>ハン</t>
    </rPh>
    <rPh sb="7" eb="8">
      <t>ジュン</t>
    </rPh>
    <phoneticPr fontId="2"/>
  </si>
  <si>
    <t>チャノミドリヒメヨコバイ</t>
    <phoneticPr fontId="2"/>
  </si>
  <si>
    <t>チャノキイロアザミウマ</t>
    <phoneticPr fontId="2"/>
  </si>
  <si>
    <t>チャトゲコナジラミ</t>
    <phoneticPr fontId="2"/>
  </si>
  <si>
    <t>チャノミドリヒメヨコバイ</t>
    <phoneticPr fontId="2"/>
  </si>
  <si>
    <t>チャノキイロアザミウマ</t>
    <phoneticPr fontId="2"/>
  </si>
  <si>
    <t>チャトゲコナジラミ</t>
    <phoneticPr fontId="2"/>
  </si>
  <si>
    <t>南・東</t>
    <rPh sb="0" eb="1">
      <t>ミナミ</t>
    </rPh>
    <rPh sb="2" eb="3">
      <t>ヒガシ</t>
    </rPh>
    <phoneticPr fontId="2"/>
  </si>
  <si>
    <t>南・西</t>
    <rPh sb="0" eb="1">
      <t>ミナミ</t>
    </rPh>
    <rPh sb="2" eb="3">
      <t>ニシ</t>
    </rPh>
    <phoneticPr fontId="2"/>
  </si>
  <si>
    <t>北・東</t>
    <rPh sb="0" eb="1">
      <t>キタ</t>
    </rPh>
    <rPh sb="2" eb="3">
      <t>ヒガシ</t>
    </rPh>
    <phoneticPr fontId="2"/>
  </si>
  <si>
    <t>北・西</t>
    <rPh sb="0" eb="1">
      <t>キタ</t>
    </rPh>
    <rPh sb="2" eb="3">
      <t>ニシ</t>
    </rPh>
    <phoneticPr fontId="2"/>
  </si>
  <si>
    <t>頭数/期間
平均値</t>
    <rPh sb="0" eb="2">
      <t>トウスウ</t>
    </rPh>
    <rPh sb="3" eb="5">
      <t>キカン</t>
    </rPh>
    <rPh sb="6" eb="9">
      <t>ヘイキンチ</t>
    </rPh>
    <phoneticPr fontId="2"/>
  </si>
  <si>
    <t>頭数合計
/半旬</t>
    <rPh sb="2" eb="4">
      <t>ゴウケイ</t>
    </rPh>
    <rPh sb="6" eb="7">
      <t>ハン</t>
    </rPh>
    <rPh sb="7" eb="8">
      <t>ジュン</t>
    </rPh>
    <phoneticPr fontId="2"/>
  </si>
  <si>
    <t>頭数/期間
平均値</t>
    <phoneticPr fontId="2"/>
  </si>
  <si>
    <t>頭数合計
/半旬</t>
    <phoneticPr fontId="2"/>
  </si>
  <si>
    <t>−</t>
    <phoneticPr fontId="2"/>
  </si>
  <si>
    <t>−</t>
    <phoneticPr fontId="2"/>
  </si>
  <si>
    <t>−</t>
    <phoneticPr fontId="2"/>
  </si>
  <si>
    <t>チャトゲコナジラミ</t>
    <phoneticPr fontId="2"/>
  </si>
  <si>
    <t>頭数合計
/半旬</t>
    <phoneticPr fontId="2"/>
  </si>
  <si>
    <t>月</t>
    <rPh sb="0" eb="1">
      <t>ツキ</t>
    </rPh>
    <phoneticPr fontId="2"/>
  </si>
  <si>
    <t>号園</t>
    <rPh sb="0" eb="1">
      <t>ゴウ</t>
    </rPh>
    <rPh sb="1" eb="2">
      <t>エン</t>
    </rPh>
    <phoneticPr fontId="2"/>
  </si>
  <si>
    <t>ルアー交換日に〇</t>
    <rPh sb="3" eb="5">
      <t>コウカン</t>
    </rPh>
    <rPh sb="5" eb="6">
      <t>ヒ</t>
    </rPh>
    <phoneticPr fontId="2"/>
  </si>
  <si>
    <t>期間
誘殺数</t>
    <rPh sb="0" eb="2">
      <t>キカン</t>
    </rPh>
    <rPh sb="3" eb="4">
      <t>ユウ</t>
    </rPh>
    <rPh sb="4" eb="5">
      <t>サツ</t>
    </rPh>
    <phoneticPr fontId="2"/>
  </si>
  <si>
    <t>誘殺数
合計
/半旬</t>
    <rPh sb="0" eb="1">
      <t>ユウ</t>
    </rPh>
    <rPh sb="1" eb="2">
      <t>サツ</t>
    </rPh>
    <rPh sb="2" eb="3">
      <t>スウ</t>
    </rPh>
    <rPh sb="4" eb="6">
      <t>ゴウケイ</t>
    </rPh>
    <phoneticPr fontId="2"/>
  </si>
  <si>
    <t>誘殺数
合計
/半旬</t>
    <rPh sb="0" eb="1">
      <t>ユウ</t>
    </rPh>
    <rPh sb="1" eb="2">
      <t>サツ</t>
    </rPh>
    <rPh sb="2" eb="3">
      <t>スウ</t>
    </rPh>
    <rPh sb="4" eb="6">
      <t>ゴウケイ</t>
    </rPh>
    <rPh sb="8" eb="9">
      <t>ハン</t>
    </rPh>
    <rPh sb="9" eb="10">
      <t>ジュン</t>
    </rPh>
    <phoneticPr fontId="2"/>
  </si>
  <si>
    <t>R3</t>
    <phoneticPr fontId="2"/>
  </si>
  <si>
    <t>2022年</t>
    <rPh sb="4" eb="5">
      <t>ネン</t>
    </rPh>
    <phoneticPr fontId="59"/>
  </si>
  <si>
    <t>R4</t>
    <phoneticPr fontId="2"/>
  </si>
  <si>
    <t>マダラカサハラハムシ被害芽</t>
    <rPh sb="10" eb="12">
      <t>ヒガイ</t>
    </rPh>
    <rPh sb="12" eb="13">
      <t>ガ</t>
    </rPh>
    <phoneticPr fontId="2"/>
  </si>
  <si>
    <t>年度</t>
    <rPh sb="0" eb="2">
      <t>ネンド</t>
    </rPh>
    <phoneticPr fontId="2"/>
  </si>
  <si>
    <t>芽数</t>
    <rPh sb="0" eb="1">
      <t>ガ</t>
    </rPh>
    <rPh sb="1" eb="2">
      <t>スウ</t>
    </rPh>
    <phoneticPr fontId="2"/>
  </si>
  <si>
    <t>被害芽数</t>
    <rPh sb="0" eb="2">
      <t>ヒガイ</t>
    </rPh>
    <rPh sb="2" eb="3">
      <t>メ</t>
    </rPh>
    <rPh sb="3" eb="4">
      <t>スウ</t>
    </rPh>
    <phoneticPr fontId="2"/>
  </si>
  <si>
    <t>調査区
(20㎝×20㎝)</t>
    <rPh sb="0" eb="3">
      <t>チョウサク</t>
    </rPh>
    <phoneticPr fontId="2"/>
  </si>
  <si>
    <t>被害芽率
(%)</t>
    <rPh sb="0" eb="2">
      <t>ヒガイ</t>
    </rPh>
    <rPh sb="2" eb="3">
      <t>メ</t>
    </rPh>
    <rPh sb="3" eb="4">
      <t>リツ</t>
    </rPh>
    <phoneticPr fontId="2"/>
  </si>
  <si>
    <t>調査園</t>
    <rPh sb="0" eb="2">
      <t>チョウサ</t>
    </rPh>
    <rPh sb="2" eb="3">
      <t>エン</t>
    </rPh>
    <phoneticPr fontId="2"/>
  </si>
  <si>
    <t>11号園</t>
    <rPh sb="2" eb="3">
      <t>ゴウ</t>
    </rPh>
    <rPh sb="3" eb="4">
      <t>エン</t>
    </rPh>
    <phoneticPr fontId="2"/>
  </si>
  <si>
    <t>捕食性天敵数</t>
    <phoneticPr fontId="2"/>
  </si>
  <si>
    <t>タマバエ類</t>
    <rPh sb="4" eb="5">
      <t>ルイ</t>
    </rPh>
    <phoneticPr fontId="2"/>
  </si>
  <si>
    <r>
      <rPr>
        <sz val="10"/>
        <rFont val="ＭＳ Ｐ明朝"/>
        <family val="1"/>
        <charset val="128"/>
      </rPr>
      <t>半数孵化卵塊
最盛期</t>
    </r>
    <r>
      <rPr>
        <sz val="10"/>
        <rFont val="Times New Roman"/>
        <family val="1"/>
      </rPr>
      <t>(50%)</t>
    </r>
    <rPh sb="0" eb="2">
      <t>ハンスウ</t>
    </rPh>
    <rPh sb="2" eb="4">
      <t>フカ</t>
    </rPh>
    <rPh sb="4" eb="6">
      <t>ランカイ</t>
    </rPh>
    <rPh sb="7" eb="10">
      <t>サイセイキ</t>
    </rPh>
    <phoneticPr fontId="2"/>
  </si>
  <si>
    <r>
      <rPr>
        <sz val="10"/>
        <rFont val="ＭＳ Ｐ明朝"/>
        <family val="1"/>
        <charset val="128"/>
      </rPr>
      <t>半数孵化
卵塊率</t>
    </r>
    <r>
      <rPr>
        <sz val="10"/>
        <rFont val="Times New Roman"/>
        <family val="1"/>
      </rPr>
      <t>(%)</t>
    </r>
    <rPh sb="0" eb="2">
      <t>ハンスウ</t>
    </rPh>
    <rPh sb="2" eb="4">
      <t>フカ</t>
    </rPh>
    <rPh sb="5" eb="6">
      <t>ラン</t>
    </rPh>
    <rPh sb="6" eb="7">
      <t>カタマリ</t>
    </rPh>
    <rPh sb="7" eb="8">
      <t>リツ</t>
    </rPh>
    <phoneticPr fontId="2"/>
  </si>
  <si>
    <r>
      <rPr>
        <sz val="10"/>
        <rFont val="ＭＳ Ｐ明朝"/>
        <family val="1"/>
        <charset val="128"/>
      </rPr>
      <t>孵化
卵塊率</t>
    </r>
    <r>
      <rPr>
        <sz val="10"/>
        <rFont val="Times New Roman"/>
        <family val="1"/>
      </rPr>
      <t>(%)</t>
    </r>
    <rPh sb="0" eb="2">
      <t>フカ</t>
    </rPh>
    <rPh sb="3" eb="5">
      <t>ランカイ</t>
    </rPh>
    <rPh sb="5" eb="6">
      <t>リツ</t>
    </rPh>
    <phoneticPr fontId="2"/>
  </si>
  <si>
    <r>
      <rPr>
        <sz val="10"/>
        <rFont val="ＭＳ Ｐ明朝"/>
        <family val="1"/>
        <charset val="128"/>
      </rPr>
      <t xml:space="preserve">産卵雌率
</t>
    </r>
    <r>
      <rPr>
        <sz val="10"/>
        <rFont val="Times New Roman"/>
        <family val="1"/>
      </rPr>
      <t>(%)</t>
    </r>
    <rPh sb="0" eb="2">
      <t>サンラン</t>
    </rPh>
    <rPh sb="2" eb="3">
      <t>メス</t>
    </rPh>
    <rPh sb="3" eb="4">
      <t>リツ</t>
    </rPh>
    <phoneticPr fontId="2"/>
  </si>
  <si>
    <t>粘着板幼虫捕獲数</t>
    <rPh sb="0" eb="2">
      <t>ネンチャク</t>
    </rPh>
    <rPh sb="2" eb="3">
      <t>バン</t>
    </rPh>
    <rPh sb="3" eb="5">
      <t>ヨウチュウ</t>
    </rPh>
    <rPh sb="5" eb="7">
      <t>ホカク</t>
    </rPh>
    <rPh sb="7" eb="8">
      <t>スウ</t>
    </rPh>
    <phoneticPr fontId="2"/>
  </si>
  <si>
    <t>設置</t>
    <rPh sb="0" eb="2">
      <t>セッチ</t>
    </rPh>
    <phoneticPr fontId="2"/>
  </si>
  <si>
    <t>設置</t>
    <phoneticPr fontId="2"/>
  </si>
  <si>
    <r>
      <rPr>
        <sz val="14"/>
        <rFont val="ＭＳ Ｐ明朝"/>
        <family val="1"/>
        <charset val="128"/>
      </rPr>
      <t>チャノミドリヒメヨコバイ</t>
    </r>
    <phoneticPr fontId="2"/>
  </si>
  <si>
    <r>
      <rPr>
        <sz val="14"/>
        <rFont val="ＭＳ Ｐ明朝"/>
        <family val="1"/>
        <charset val="128"/>
      </rPr>
      <t>チャノキイロアザミウマ</t>
    </r>
    <phoneticPr fontId="2"/>
  </si>
  <si>
    <r>
      <rPr>
        <sz val="14"/>
        <rFont val="ＭＳ Ｐ明朝"/>
        <family val="1"/>
        <charset val="128"/>
      </rPr>
      <t>チャノミドリヒメヨコバイ</t>
    </r>
    <phoneticPr fontId="2"/>
  </si>
  <si>
    <r>
      <rPr>
        <sz val="14"/>
        <rFont val="ＭＳ Ｐ明朝"/>
        <family val="1"/>
        <charset val="128"/>
      </rPr>
      <t>チャノキイロアザミウマ</t>
    </r>
    <phoneticPr fontId="2"/>
  </si>
  <si>
    <t>蔵卵雌、マミー無し</t>
    <rPh sb="0" eb="1">
      <t>クラ</t>
    </rPh>
    <rPh sb="1" eb="2">
      <t>ラン</t>
    </rPh>
    <rPh sb="2" eb="3">
      <t>メス</t>
    </rPh>
    <rPh sb="7" eb="8">
      <t>ナ</t>
    </rPh>
    <phoneticPr fontId="2"/>
  </si>
  <si>
    <r>
      <rPr>
        <sz val="10"/>
        <rFont val="ＭＳ Ｐ明朝"/>
        <family val="1"/>
        <charset val="128"/>
      </rPr>
      <t>蔵卵雌</t>
    </r>
    <r>
      <rPr>
        <sz val="10"/>
        <rFont val="Times New Roman"/>
        <family val="1"/>
      </rPr>
      <t>8</t>
    </r>
    <phoneticPr fontId="2"/>
  </si>
  <si>
    <r>
      <rPr>
        <sz val="10"/>
        <rFont val="ＭＳ Ｐ明朝"/>
        <family val="1"/>
        <charset val="128"/>
      </rPr>
      <t>蔵卵雌</t>
    </r>
    <r>
      <rPr>
        <sz val="10"/>
        <rFont val="Times New Roman"/>
        <family val="1"/>
      </rPr>
      <t>15</t>
    </r>
    <r>
      <rPr>
        <sz val="10"/>
        <rFont val="ＭＳ Ｐ明朝"/>
        <family val="1"/>
        <charset val="128"/>
      </rPr>
      <t>、雌卵</t>
    </r>
    <r>
      <rPr>
        <sz val="10"/>
        <rFont val="Times New Roman"/>
        <family val="1"/>
      </rPr>
      <t>4</t>
    </r>
    <rPh sb="6" eb="7">
      <t>メス</t>
    </rPh>
    <rPh sb="7" eb="8">
      <t>ラン</t>
    </rPh>
    <phoneticPr fontId="2"/>
  </si>
  <si>
    <r>
      <rPr>
        <sz val="10"/>
        <rFont val="ＭＳ Ｐ明朝"/>
        <family val="1"/>
        <charset val="128"/>
      </rPr>
      <t>蔵卵雌</t>
    </r>
    <r>
      <rPr>
        <sz val="10"/>
        <rFont val="Times New Roman"/>
        <family val="1"/>
      </rPr>
      <t>33</t>
    </r>
    <r>
      <rPr>
        <sz val="10"/>
        <rFont val="ＭＳ Ｐ明朝"/>
        <family val="1"/>
        <charset val="128"/>
      </rPr>
      <t>、全部雌</t>
    </r>
    <r>
      <rPr>
        <sz val="10"/>
        <rFont val="Times New Roman"/>
        <family val="1"/>
      </rPr>
      <t>?</t>
    </r>
    <r>
      <rPr>
        <sz val="10"/>
        <rFont val="ＭＳ Ｐ明朝"/>
        <family val="1"/>
        <charset val="128"/>
      </rPr>
      <t>、タマバエ</t>
    </r>
    <r>
      <rPr>
        <sz val="10"/>
        <rFont val="Times New Roman"/>
        <family val="1"/>
      </rPr>
      <t>1</t>
    </r>
    <rPh sb="6" eb="8">
      <t>ゼンブ</t>
    </rPh>
    <rPh sb="8" eb="9">
      <t>メス</t>
    </rPh>
    <phoneticPr fontId="2"/>
  </si>
  <si>
    <t>R5</t>
    <phoneticPr fontId="2"/>
  </si>
  <si>
    <t>R5</t>
    <phoneticPr fontId="2"/>
  </si>
  <si>
    <t>R5</t>
    <phoneticPr fontId="2"/>
  </si>
  <si>
    <r>
      <t>10</t>
    </r>
    <r>
      <rPr>
        <sz val="11"/>
        <rFont val="ＭＳ Ｐ明朝"/>
        <family val="1"/>
        <charset val="128"/>
      </rPr>
      <t>年平均</t>
    </r>
    <rPh sb="2" eb="3">
      <t>ネン</t>
    </rPh>
    <rPh sb="3" eb="5">
      <t>ヘイキン</t>
    </rPh>
    <phoneticPr fontId="2"/>
  </si>
  <si>
    <t>■旧
□新旧</t>
    <rPh sb="1" eb="2">
      <t>キュウ</t>
    </rPh>
    <rPh sb="4" eb="5">
      <t>シン</t>
    </rPh>
    <rPh sb="5" eb="6">
      <t>キュウ</t>
    </rPh>
    <phoneticPr fontId="2"/>
  </si>
  <si>
    <t>■旧
□新旧</t>
    <phoneticPr fontId="2"/>
  </si>
  <si>
    <t>■旧
□新旧</t>
    <phoneticPr fontId="2"/>
  </si>
  <si>
    <t>2002年</t>
    <rPh sb="4" eb="5">
      <t>ネン</t>
    </rPh>
    <phoneticPr fontId="2"/>
  </si>
  <si>
    <t>2020年</t>
    <rPh sb="4" eb="5">
      <t>ネン</t>
    </rPh>
    <phoneticPr fontId="2"/>
  </si>
  <si>
    <t>2022年</t>
    <rPh sb="4" eb="5">
      <t>ネン</t>
    </rPh>
    <phoneticPr fontId="2"/>
  </si>
  <si>
    <t>202３年</t>
    <rPh sb="4" eb="5">
      <t>ネン</t>
    </rPh>
    <phoneticPr fontId="2"/>
  </si>
  <si>
    <t>202４年</t>
    <rPh sb="4" eb="5">
      <t>ネン</t>
    </rPh>
    <phoneticPr fontId="2"/>
  </si>
  <si>
    <t>2010年</t>
    <rPh sb="4" eb="5">
      <t>ネン</t>
    </rPh>
    <phoneticPr fontId="2"/>
  </si>
  <si>
    <t>2011年</t>
    <rPh sb="4" eb="5">
      <t>ネン</t>
    </rPh>
    <phoneticPr fontId="2"/>
  </si>
  <si>
    <t>2012年</t>
    <rPh sb="4" eb="5">
      <t>ネン</t>
    </rPh>
    <phoneticPr fontId="2"/>
  </si>
  <si>
    <t>2021年</t>
    <rPh sb="4" eb="5">
      <t>ネン</t>
    </rPh>
    <phoneticPr fontId="2"/>
  </si>
  <si>
    <t>2003年</t>
    <rPh sb="4" eb="5">
      <t>ネン</t>
    </rPh>
    <phoneticPr fontId="2"/>
  </si>
  <si>
    <t>2004年</t>
    <rPh sb="4" eb="5">
      <t>ネン</t>
    </rPh>
    <phoneticPr fontId="2"/>
  </si>
  <si>
    <t>2005年</t>
    <rPh sb="4" eb="5">
      <t>ネン</t>
    </rPh>
    <phoneticPr fontId="2"/>
  </si>
  <si>
    <t>2006年</t>
    <rPh sb="4" eb="5">
      <t>ネン</t>
    </rPh>
    <phoneticPr fontId="2"/>
  </si>
  <si>
    <t>2007年</t>
    <rPh sb="4" eb="5">
      <t>ネン</t>
    </rPh>
    <phoneticPr fontId="2"/>
  </si>
  <si>
    <t>2008年</t>
    <rPh sb="4" eb="5">
      <t>ネン</t>
    </rPh>
    <phoneticPr fontId="2"/>
  </si>
  <si>
    <t>2009年</t>
    <rPh sb="4" eb="5">
      <t>ネン</t>
    </rPh>
    <phoneticPr fontId="2"/>
  </si>
  <si>
    <t>2013年</t>
    <rPh sb="4" eb="5">
      <t>ネン</t>
    </rPh>
    <phoneticPr fontId="2"/>
  </si>
  <si>
    <t>2014年</t>
    <rPh sb="4" eb="5">
      <t>ネン</t>
    </rPh>
    <phoneticPr fontId="2"/>
  </si>
  <si>
    <t>2015年</t>
    <rPh sb="4" eb="5">
      <t>ネン</t>
    </rPh>
    <phoneticPr fontId="2"/>
  </si>
  <si>
    <t>2016年</t>
    <rPh sb="4" eb="5">
      <t>ネン</t>
    </rPh>
    <phoneticPr fontId="2"/>
  </si>
  <si>
    <t>2017年</t>
    <rPh sb="4" eb="5">
      <t>ネン</t>
    </rPh>
    <phoneticPr fontId="2"/>
  </si>
  <si>
    <t>2018年</t>
    <rPh sb="4" eb="5">
      <t>ネン</t>
    </rPh>
    <phoneticPr fontId="2"/>
  </si>
  <si>
    <t>2019年</t>
    <rPh sb="4" eb="5">
      <t>ネン</t>
    </rPh>
    <phoneticPr fontId="2"/>
  </si>
  <si>
    <t>Ｈ３1年</t>
    <rPh sb="3" eb="4">
      <t>ネン</t>
    </rPh>
    <phoneticPr fontId="2"/>
  </si>
  <si>
    <t>Ｈ14年</t>
    <rPh sb="3" eb="4">
      <t>ネン</t>
    </rPh>
    <phoneticPr fontId="2"/>
  </si>
  <si>
    <t>Ｈ15年</t>
    <rPh sb="3" eb="4">
      <t>ネン</t>
    </rPh>
    <phoneticPr fontId="2"/>
  </si>
  <si>
    <t>Ｈ16年</t>
    <rPh sb="3" eb="4">
      <t>ネン</t>
    </rPh>
    <phoneticPr fontId="2"/>
  </si>
  <si>
    <t>Ｈ17年</t>
    <rPh sb="3" eb="4">
      <t>ネン</t>
    </rPh>
    <phoneticPr fontId="2"/>
  </si>
  <si>
    <t>Ｈ18年</t>
    <rPh sb="3" eb="4">
      <t>ネン</t>
    </rPh>
    <phoneticPr fontId="2"/>
  </si>
  <si>
    <t>Ｈ19年</t>
    <rPh sb="3" eb="4">
      <t>ネン</t>
    </rPh>
    <phoneticPr fontId="2"/>
  </si>
  <si>
    <t>Ｈ20年</t>
    <rPh sb="3" eb="4">
      <t>ネン</t>
    </rPh>
    <phoneticPr fontId="2"/>
  </si>
  <si>
    <t>Ｈ21年</t>
    <rPh sb="3" eb="4">
      <t>ネン</t>
    </rPh>
    <phoneticPr fontId="2"/>
  </si>
  <si>
    <t>Ｈ22年</t>
    <rPh sb="3" eb="4">
      <t>ネン</t>
    </rPh>
    <phoneticPr fontId="2"/>
  </si>
  <si>
    <t>Ｈ23年</t>
    <rPh sb="3" eb="4">
      <t>ネン</t>
    </rPh>
    <phoneticPr fontId="2"/>
  </si>
  <si>
    <t>Ｈ24年</t>
    <rPh sb="3" eb="4">
      <t>ネン</t>
    </rPh>
    <phoneticPr fontId="2"/>
  </si>
  <si>
    <t>Ｈ25年</t>
    <rPh sb="3" eb="4">
      <t>ネン</t>
    </rPh>
    <phoneticPr fontId="2"/>
  </si>
  <si>
    <t>Ｈ26年</t>
    <rPh sb="3" eb="4">
      <t>ネン</t>
    </rPh>
    <phoneticPr fontId="2"/>
  </si>
  <si>
    <t>Ｈ27年</t>
    <rPh sb="3" eb="4">
      <t>ネン</t>
    </rPh>
    <phoneticPr fontId="2"/>
  </si>
  <si>
    <t>Ｈ28年</t>
    <rPh sb="3" eb="4">
      <t>ネン</t>
    </rPh>
    <phoneticPr fontId="2"/>
  </si>
  <si>
    <t>Ｈ29年</t>
    <rPh sb="3" eb="4">
      <t>ネン</t>
    </rPh>
    <phoneticPr fontId="2"/>
  </si>
  <si>
    <t>Ｈ30年</t>
    <rPh sb="3" eb="4">
      <t>ネン</t>
    </rPh>
    <phoneticPr fontId="2"/>
  </si>
  <si>
    <t>平年（過去10年）</t>
    <rPh sb="0" eb="2">
      <t>ヘイネンチ</t>
    </rPh>
    <rPh sb="3" eb="5">
      <t>カコ</t>
    </rPh>
    <rPh sb="7" eb="8">
      <t>ネン</t>
    </rPh>
    <phoneticPr fontId="2"/>
  </si>
  <si>
    <t>調査日</t>
    <rPh sb="0" eb="2">
      <t>チョウサ</t>
    </rPh>
    <rPh sb="2" eb="3">
      <t>ビ</t>
    </rPh>
    <phoneticPr fontId="2"/>
  </si>
  <si>
    <t>注意：合計の寄生頭数は調査日を入力すると計算されるため、必ず調査日を入力
　　　 調査期間の間に防除を実施した場合は「ハダニ」シートのGセルの防除履歴に「0」を記入</t>
    <rPh sb="0" eb="2">
      <t>チュウイ</t>
    </rPh>
    <rPh sb="3" eb="5">
      <t>ゴウケイ</t>
    </rPh>
    <rPh sb="6" eb="8">
      <t>キセイ</t>
    </rPh>
    <rPh sb="8" eb="10">
      <t>トウスウ</t>
    </rPh>
    <rPh sb="11" eb="13">
      <t>チョウサ</t>
    </rPh>
    <rPh sb="13" eb="14">
      <t>ビ</t>
    </rPh>
    <rPh sb="15" eb="17">
      <t>ニュウリョク</t>
    </rPh>
    <rPh sb="20" eb="22">
      <t>ケイサン</t>
    </rPh>
    <rPh sb="28" eb="29">
      <t>カナラ</t>
    </rPh>
    <rPh sb="30" eb="32">
      <t>チョウサ</t>
    </rPh>
    <rPh sb="32" eb="33">
      <t>ビ</t>
    </rPh>
    <rPh sb="34" eb="36">
      <t>ニュウリョク</t>
    </rPh>
    <rPh sb="41" eb="43">
      <t>チョウサ</t>
    </rPh>
    <rPh sb="43" eb="45">
      <t>キカン</t>
    </rPh>
    <rPh sb="46" eb="47">
      <t>アイダ</t>
    </rPh>
    <rPh sb="48" eb="50">
      <t>ボウジョ</t>
    </rPh>
    <rPh sb="51" eb="53">
      <t>ジッシ</t>
    </rPh>
    <rPh sb="55" eb="57">
      <t>バアイ</t>
    </rPh>
    <rPh sb="71" eb="73">
      <t>ボウジョ</t>
    </rPh>
    <rPh sb="73" eb="75">
      <t>リレキ</t>
    </rPh>
    <rPh sb="80" eb="82">
      <t>キニュウ</t>
    </rPh>
    <phoneticPr fontId="2"/>
  </si>
  <si>
    <t>調査年が変わった場合は平年値を手動で更新してください</t>
    <rPh sb="0" eb="2">
      <t>チョウサ</t>
    </rPh>
    <rPh sb="2" eb="3">
      <t>ネン</t>
    </rPh>
    <rPh sb="4" eb="5">
      <t>カ</t>
    </rPh>
    <rPh sb="8" eb="10">
      <t>バアイ</t>
    </rPh>
    <rPh sb="11" eb="13">
      <t>ヘイネン</t>
    </rPh>
    <rPh sb="13" eb="14">
      <t>チ</t>
    </rPh>
    <rPh sb="15" eb="17">
      <t>シュドウ</t>
    </rPh>
    <rPh sb="18" eb="20">
      <t>コウシン</t>
    </rPh>
    <phoneticPr fontId="2"/>
  </si>
  <si>
    <t>調査年が変わった場合は平年値を手動で更新してください</t>
    <phoneticPr fontId="2"/>
  </si>
  <si>
    <t>①-2</t>
    <phoneticPr fontId="2"/>
  </si>
  <si>
    <t>②-2</t>
    <phoneticPr fontId="2"/>
  </si>
  <si>
    <t>③-2</t>
    <phoneticPr fontId="2"/>
  </si>
  <si>
    <t>④-2</t>
    <phoneticPr fontId="2"/>
  </si>
  <si>
    <t>当年</t>
    <rPh sb="0" eb="2">
      <t>トウネン</t>
    </rPh>
    <phoneticPr fontId="2"/>
  </si>
  <si>
    <t>R5</t>
    <phoneticPr fontId="2"/>
  </si>
  <si>
    <t>5年平均</t>
    <rPh sb="1" eb="2">
      <t>ネン</t>
    </rPh>
    <rPh sb="2" eb="4">
      <t>ヘイキン</t>
    </rPh>
    <phoneticPr fontId="2"/>
  </si>
  <si>
    <t>直近1カ月</t>
    <rPh sb="0" eb="2">
      <t>チョッキン</t>
    </rPh>
    <rPh sb="4" eb="5">
      <t>ゲツ</t>
    </rPh>
    <phoneticPr fontId="2"/>
  </si>
  <si>
    <t>R7</t>
  </si>
  <si>
    <t>ND</t>
  </si>
  <si>
    <t>ND</t>
    <phoneticPr fontId="2"/>
  </si>
  <si>
    <t>↓年度が替わったら範囲を修正する</t>
    <rPh sb="1" eb="3">
      <t>ネンド</t>
    </rPh>
    <rPh sb="4" eb="5">
      <t>カ</t>
    </rPh>
    <rPh sb="9" eb="11">
      <t>ハンイ</t>
    </rPh>
    <rPh sb="12" eb="14">
      <t>シュウセイ</t>
    </rPh>
    <phoneticPr fontId="2"/>
  </si>
  <si>
    <t>秋芽生育期</t>
    <rPh sb="0" eb="5">
      <t>アキメセイイクキ</t>
    </rPh>
    <phoneticPr fontId="2"/>
  </si>
  <si>
    <t xml:space="preserve"> </t>
    <phoneticPr fontId="2"/>
  </si>
  <si>
    <t>R8</t>
    <phoneticPr fontId="2"/>
  </si>
  <si>
    <t>設置日</t>
    <rPh sb="0" eb="2">
      <t>セッチ</t>
    </rPh>
    <rPh sb="2" eb="3">
      <t>ビ</t>
    </rPh>
    <phoneticPr fontId="2"/>
  </si>
  <si>
    <r>
      <t>R8</t>
    </r>
    <r>
      <rPr>
        <sz val="11"/>
        <rFont val="ＭＳ Ｐ明朝"/>
        <family val="1"/>
        <charset val="128"/>
      </rPr>
      <t>から15号園やぶきた12～14畝南に変更</t>
    </r>
    <rPh sb="6" eb="7">
      <t>ゴウ</t>
    </rPh>
    <rPh sb="7" eb="8">
      <t>エン</t>
    </rPh>
    <rPh sb="17" eb="18">
      <t>ウネ</t>
    </rPh>
    <rPh sb="18" eb="19">
      <t>ミナミ</t>
    </rPh>
    <rPh sb="20" eb="22">
      <t>ヘンコウ</t>
    </rPh>
    <phoneticPr fontId="2"/>
  </si>
  <si>
    <t>チャハマキ</t>
  </si>
  <si>
    <t>チャノコカクモンハマキ</t>
  </si>
  <si>
    <t>チャノホソガ</t>
  </si>
  <si>
    <t>15号園　黄色粘着トラップ（ITシート10×10cm・樹冠面）</t>
    <rPh sb="5" eb="7">
      <t>オウショク</t>
    </rPh>
    <rPh sb="7" eb="9">
      <t>ネンチャク</t>
    </rPh>
    <rPh sb="27" eb="29">
      <t>ジュカン</t>
    </rPh>
    <rPh sb="29" eb="30">
      <t>メン</t>
    </rPh>
    <phoneticPr fontId="2"/>
  </si>
  <si>
    <t>県予察圃における病害虫発生状況
(2026年6月第4半旬)
三重県農業研究所
茶業研究課（亀山市）</t>
    <rPh sb="0" eb="1">
      <t>ケン</t>
    </rPh>
    <rPh sb="1" eb="3">
      <t>ヨサツ</t>
    </rPh>
    <rPh sb="3" eb="4">
      <t>ホ</t>
    </rPh>
    <rPh sb="8" eb="11">
      <t>ビョウガイチュウ</t>
    </rPh>
    <rPh sb="11" eb="13">
      <t>ハッセイ</t>
    </rPh>
    <rPh sb="13" eb="15">
      <t>ジョウキョウ</t>
    </rPh>
    <rPh sb="21" eb="22">
      <t>ネン</t>
    </rPh>
    <rPh sb="23" eb="24">
      <t>ガツ</t>
    </rPh>
    <rPh sb="24" eb="25">
      <t>ダイ</t>
    </rPh>
    <rPh sb="26" eb="27">
      <t>ハン</t>
    </rPh>
    <rPh sb="27" eb="28">
      <t>ジュン</t>
    </rPh>
    <rPh sb="30" eb="33">
      <t>ミエケン</t>
    </rPh>
    <rPh sb="33" eb="35">
      <t>ノウギョウ</t>
    </rPh>
    <rPh sb="35" eb="38">
      <t>ケンキュウショ</t>
    </rPh>
    <rPh sb="39" eb="40">
      <t>チャ</t>
    </rPh>
    <rPh sb="40" eb="41">
      <t>ギョウ</t>
    </rPh>
    <rPh sb="41" eb="43">
      <t>ケンキュウ</t>
    </rPh>
    <rPh sb="43" eb="44">
      <t>カ</t>
    </rPh>
    <rPh sb="45" eb="48">
      <t>カメヤマシ</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</si>
</sst>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176" formatCode="0_ "/>
    <numFmt numFmtId="177" formatCode="0.0"/>
    <numFmt numFmtId="178" formatCode="0.0_ "/>
    <numFmt numFmtId="179" formatCode="####&quot;年&quot;"/>
    <numFmt numFmtId="180" formatCode="####&quot;年度&quot;"/>
    <numFmt numFmtId="181" formatCode="0.0;;0"/>
    <numFmt numFmtId="182" formatCode="\(####&quot;ヶ年平均&quot;\)"/>
    <numFmt numFmtId="183" formatCode="0.00;;0"/>
    <numFmt numFmtId="184" formatCode="0;;0"/>
    <numFmt numFmtId="185" formatCode="m&quot;月&quot;d&quot;日&quot;;@"/>
    <numFmt numFmtId="186" formatCode="#,##0.0;[Red]\-#,##0.0"/>
    <numFmt numFmtId="187" formatCode="0.00;;0.0"/>
    <numFmt numFmtId="188" formatCode="0.00_ "/>
    <numFmt numFmtId="189" formatCode="0_);[Red]\(0\)"/>
    <numFmt numFmtId="190" formatCode="m/d;@"/>
    <numFmt numFmtId="191" formatCode="yyyy/m/d;@"/>
    <numFmt numFmtId="192" formatCode="0.0_);[Red]\(0.0\)"/>
    <numFmt numFmtId="193" formatCode="0.00_);[Red]\(0.00\)"/>
    <numFmt numFmtId="194" formatCode="m/d"/>
  </numFmts>
  <fonts count="85">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i/>
      <sz val="20"/>
      <name val="ＭＳ Ｐゴシック"/>
      <family val="3"/>
      <charset val="128"/>
    </font>
    <font>
      <b/>
      <sz val="12"/>
      <name val="ＭＳ Ｐゴシック"/>
      <family val="3"/>
      <charset val="128"/>
    </font>
    <font>
      <b/>
      <i/>
      <sz val="14"/>
      <name val="ＭＳ Ｐゴシック"/>
      <family val="3"/>
      <charset val="128"/>
    </font>
    <font>
      <i/>
      <sz val="18"/>
      <name val="ＭＳ Ｐゴシック"/>
      <family val="3"/>
      <charset val="128"/>
    </font>
    <font>
      <b/>
      <sz val="10"/>
      <name val="ＭＳ Ｐゴシック"/>
      <family val="3"/>
      <charset val="128"/>
    </font>
    <font>
      <sz val="11"/>
      <name val="ＭＳ Ｐゴシック"/>
      <family val="3"/>
      <charset val="128"/>
    </font>
    <font>
      <sz val="11"/>
      <name val="ＭＳ Ｐ明朝"/>
      <family val="1"/>
      <charset val="128"/>
    </font>
    <font>
      <b/>
      <sz val="9"/>
      <color indexed="8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b/>
      <sz val="36"/>
      <name val="ＭＳ Ｐゴシック"/>
      <family val="3"/>
      <charset val="128"/>
    </font>
    <font>
      <sz val="22"/>
      <name val="ＭＳ Ｐゴシック"/>
      <family val="3"/>
      <charset val="128"/>
    </font>
    <font>
      <sz val="9"/>
      <name val="ＭＳ Ｐゴシック"/>
      <family val="3"/>
      <charset val="128"/>
    </font>
    <font>
      <sz val="9"/>
      <color indexed="81"/>
      <name val="ＭＳ Ｐゴシック"/>
      <family val="3"/>
      <charset val="128"/>
    </font>
    <font>
      <b/>
      <sz val="6"/>
      <name val="ＭＳ Ｐゴシック"/>
      <family val="3"/>
      <charset val="128"/>
    </font>
    <font>
      <sz val="10"/>
      <name val="Times New Roman"/>
      <family val="1"/>
    </font>
    <font>
      <sz val="10"/>
      <name val="ＭＳ Ｐ明朝"/>
      <family val="1"/>
      <charset val="128"/>
    </font>
    <font>
      <sz val="10"/>
      <color rgb="FFFF0000"/>
      <name val="Times New Roman"/>
      <family val="1"/>
    </font>
    <font>
      <sz val="24"/>
      <name val="ＭＳ Ｐゴシック"/>
      <family val="3"/>
      <charset val="128"/>
    </font>
    <font>
      <i/>
      <sz val="22"/>
      <name val="ＭＳ Ｐゴシック"/>
      <family val="3"/>
      <charset val="128"/>
    </font>
    <font>
      <sz val="10"/>
      <name val="ＭＳ Ｐゴシック"/>
      <family val="3"/>
      <charset val="128"/>
    </font>
    <font>
      <sz val="36"/>
      <name val="Meiryo UI"/>
      <family val="3"/>
      <charset val="128"/>
    </font>
    <font>
      <i/>
      <sz val="14"/>
      <name val="ＭＳ Ｐゴシック"/>
      <family val="3"/>
      <charset val="128"/>
    </font>
    <font>
      <sz val="12"/>
      <name val="ＭＳ Ｐゴシック"/>
      <family val="3"/>
      <charset val="128"/>
    </font>
    <font>
      <sz val="11"/>
      <name val="Times New Roman"/>
      <family val="1"/>
    </font>
    <font>
      <i/>
      <sz val="18"/>
      <name val="ＭＳ Ｐ明朝"/>
      <family val="1"/>
      <charset val="128"/>
    </font>
    <font>
      <i/>
      <sz val="14"/>
      <name val="ＭＳ Ｐ明朝"/>
      <family val="1"/>
      <charset val="128"/>
    </font>
    <font>
      <sz val="12"/>
      <name val="ＭＳ Ｐ明朝"/>
      <family val="1"/>
      <charset val="128"/>
    </font>
    <font>
      <i/>
      <sz val="18"/>
      <name val="Times New Roman"/>
      <family val="1"/>
    </font>
    <font>
      <i/>
      <sz val="20"/>
      <name val="Times New Roman"/>
      <family val="1"/>
    </font>
    <font>
      <i/>
      <sz val="14"/>
      <name val="Times New Roman"/>
      <family val="1"/>
    </font>
    <font>
      <sz val="12"/>
      <name val="Times New Roman"/>
      <family val="1"/>
    </font>
    <font>
      <i/>
      <sz val="11"/>
      <name val="ＭＳ Ｐ明朝"/>
      <family val="1"/>
      <charset val="128"/>
    </font>
    <font>
      <i/>
      <sz val="11"/>
      <name val="Times New Roman"/>
      <family val="1"/>
    </font>
    <font>
      <sz val="9"/>
      <name val="Times New Roman"/>
      <family val="1"/>
    </font>
    <font>
      <sz val="11"/>
      <color rgb="FFFF0000"/>
      <name val="Times New Roman"/>
      <family val="1"/>
    </font>
    <font>
      <sz val="24"/>
      <name val="Meiryo UI"/>
      <family val="3"/>
      <charset val="128"/>
    </font>
    <font>
      <sz val="11"/>
      <name val="游ゴシック Medium"/>
      <family val="3"/>
      <charset val="128"/>
    </font>
    <font>
      <strike/>
      <sz val="11"/>
      <name val="ＭＳ Ｐゴシック"/>
      <family val="3"/>
      <charset val="128"/>
    </font>
    <font>
      <sz val="11"/>
      <color theme="1"/>
      <name val="游ゴシック Medium"/>
      <family val="3"/>
      <charset val="128"/>
    </font>
    <font>
      <sz val="6"/>
      <name val="ＭＳ Ｐゴシック"/>
      <family val="2"/>
      <charset val="128"/>
      <scheme val="minor"/>
    </font>
    <font>
      <sz val="11"/>
      <color theme="0"/>
      <name val="游ゴシック Medium"/>
      <family val="3"/>
      <charset val="128"/>
    </font>
    <font>
      <sz val="11"/>
      <color rgb="FF000000"/>
      <name val="游ゴシック Medium"/>
      <family val="3"/>
      <charset val="128"/>
    </font>
    <font>
      <sz val="11"/>
      <color rgb="FFFF0000"/>
      <name val="ＭＳ Ｐゴシック"/>
      <family val="2"/>
      <charset val="128"/>
      <scheme val="minor"/>
    </font>
    <font>
      <sz val="16"/>
      <color theme="1"/>
      <name val="游ゴシック Medium"/>
      <family val="3"/>
      <charset val="128"/>
    </font>
    <font>
      <strike/>
      <sz val="11"/>
      <color theme="1"/>
      <name val="游ゴシック Medium"/>
      <family val="3"/>
      <charset val="128"/>
    </font>
    <font>
      <sz val="11"/>
      <color rgb="FFFF0066"/>
      <name val="游ゴシック Medium"/>
      <family val="3"/>
      <charset val="128"/>
    </font>
    <font>
      <sz val="11"/>
      <name val="Meiryo UI"/>
      <family val="3"/>
      <charset val="128"/>
    </font>
    <font>
      <sz val="11"/>
      <color rgb="FFFF0000"/>
      <name val="ＭＳ Ｐ明朝"/>
      <family val="1"/>
      <charset val="128"/>
    </font>
    <font>
      <sz val="9"/>
      <name val="Meiryo UI"/>
      <family val="3"/>
      <charset val="128"/>
    </font>
    <font>
      <sz val="10"/>
      <name val="Meiryo UI"/>
      <family val="3"/>
      <charset val="128"/>
    </font>
    <font>
      <sz val="8"/>
      <name val="Meiryo UI"/>
      <family val="3"/>
      <charset val="128"/>
    </font>
    <font>
      <sz val="6"/>
      <name val="Meiryo UI"/>
      <family val="3"/>
      <charset val="128"/>
    </font>
    <font>
      <b/>
      <sz val="11"/>
      <color rgb="FFFF0000"/>
      <name val="ＭＳ Ｐゴシック"/>
      <family val="3"/>
      <charset val="128"/>
    </font>
    <font>
      <sz val="12"/>
      <name val="Meiryo UI"/>
      <family val="3"/>
      <charset val="128"/>
    </font>
    <font>
      <b/>
      <sz val="11"/>
      <name val="Meiryo UI"/>
      <family val="3"/>
      <charset val="128"/>
    </font>
    <font>
      <sz val="14"/>
      <name val="Times New Roman"/>
      <family val="1"/>
    </font>
    <font>
      <sz val="14"/>
      <name val="ＭＳ Ｐ明朝"/>
      <family val="1"/>
      <charset val="128"/>
    </font>
    <font>
      <b/>
      <sz val="11"/>
      <color rgb="FFFF0000"/>
      <name val="Meiryo UI"/>
      <family val="3"/>
      <charset val="128"/>
    </font>
    <font>
      <b/>
      <sz val="10"/>
      <color rgb="FFFF0000"/>
      <name val="ＭＳ Ｐ明朝"/>
      <family val="1"/>
      <charset val="128"/>
    </font>
    <font>
      <b/>
      <sz val="9"/>
      <color indexed="81"/>
      <name val="MS P ゴシック"/>
      <family val="3"/>
      <charset val="128"/>
    </font>
    <font>
      <sz val="11"/>
      <color theme="1"/>
      <name val="Meiryo UI"/>
      <family val="3"/>
      <charset val="128"/>
    </font>
    <font>
      <sz val="9"/>
      <color indexed="81"/>
      <name val="MS P ゴシック"/>
      <family val="3"/>
      <charset val="128"/>
    </font>
    <font>
      <sz val="11"/>
      <name val="Times New Roman"/>
      <family val="1"/>
      <charset val="128"/>
    </font>
    <font>
      <b/>
      <sz val="11"/>
      <color rgb="FF7030A0"/>
      <name val="Meiryo UI"/>
      <family val="3"/>
      <charset val="128"/>
    </font>
    <font>
      <sz val="11"/>
      <color rgb="FFFF0000"/>
      <name val="Meiryo UI"/>
      <family val="3"/>
      <charset val="128"/>
    </font>
  </fonts>
  <fills count="4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42"/>
        <bgColor indexed="64"/>
      </patternFill>
    </fill>
    <fill>
      <patternFill patternType="solid">
        <fgColor indexed="9"/>
        <bgColor indexed="64"/>
      </patternFill>
    </fill>
    <fill>
      <patternFill patternType="solid">
        <fgColor indexed="15"/>
        <bgColor indexed="64"/>
      </patternFill>
    </fill>
    <fill>
      <patternFill patternType="solid">
        <fgColor indexed="49"/>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3" tint="0.79998168889431442"/>
        <bgColor indexed="64"/>
      </patternFill>
    </fill>
    <fill>
      <patternFill patternType="solid">
        <fgColor rgb="FFFFFF66"/>
        <bgColor indexed="64"/>
      </patternFill>
    </fill>
    <fill>
      <patternFill patternType="solid">
        <fgColor rgb="FFFFFF99"/>
        <bgColor indexed="64"/>
      </patternFill>
    </fill>
    <fill>
      <patternFill patternType="solid">
        <fgColor theme="5"/>
        <bgColor indexed="64"/>
      </patternFill>
    </fill>
    <fill>
      <patternFill patternType="solid">
        <fgColor theme="0"/>
        <bgColor indexed="64"/>
      </patternFill>
    </fill>
    <fill>
      <patternFill patternType="solid">
        <fgColor rgb="FFFFFF00"/>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rgb="FFFFFFCC"/>
        <bgColor indexed="64"/>
      </patternFill>
    </fill>
    <fill>
      <patternFill patternType="solid">
        <fgColor rgb="FFFFC000"/>
        <bgColor indexed="64"/>
      </patternFill>
    </fill>
    <fill>
      <patternFill patternType="solid">
        <fgColor theme="0" tint="-0.499984740745262"/>
        <bgColor indexed="64"/>
      </patternFill>
    </fill>
  </fills>
  <borders count="195">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diagonal/>
    </border>
    <border>
      <left style="thin">
        <color indexed="64"/>
      </left>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thin">
        <color indexed="64"/>
      </right>
      <top/>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top/>
      <bottom style="medium">
        <color indexed="64"/>
      </bottom>
      <diagonal/>
    </border>
    <border>
      <left style="thin">
        <color indexed="64"/>
      </left>
      <right style="thin">
        <color indexed="64"/>
      </right>
      <top/>
      <bottom/>
      <diagonal/>
    </border>
    <border>
      <left style="medium">
        <color indexed="64"/>
      </left>
      <right style="thin">
        <color indexed="64"/>
      </right>
      <top style="thin">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thin">
        <color indexed="64"/>
      </top>
      <bottom/>
      <diagonal/>
    </border>
    <border>
      <left/>
      <right style="thin">
        <color indexed="64"/>
      </right>
      <top style="thin">
        <color indexed="64"/>
      </top>
      <bottom style="medium">
        <color indexed="64"/>
      </bottom>
      <diagonal/>
    </border>
    <border>
      <left style="thin">
        <color indexed="64"/>
      </left>
      <right/>
      <top style="thin">
        <color indexed="64"/>
      </top>
      <bottom/>
      <diagonal/>
    </border>
    <border>
      <left/>
      <right/>
      <top style="medium">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bottom/>
      <diagonal/>
    </border>
    <border>
      <left/>
      <right style="thin">
        <color indexed="64"/>
      </right>
      <top style="thin">
        <color indexed="64"/>
      </top>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thin">
        <color indexed="64"/>
      </top>
      <bottom style="thin">
        <color indexed="64"/>
      </bottom>
      <diagonal/>
    </border>
    <border>
      <left/>
      <right/>
      <top style="thin">
        <color indexed="64"/>
      </top>
      <bottom style="medium">
        <color indexed="64"/>
      </bottom>
      <diagonal/>
    </border>
    <border>
      <left/>
      <right/>
      <top/>
      <bottom style="thin">
        <color indexed="64"/>
      </bottom>
      <diagonal/>
    </border>
    <border>
      <left/>
      <right/>
      <top style="thin">
        <color indexed="64"/>
      </top>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thin">
        <color indexed="64"/>
      </left>
      <right/>
      <top style="medium">
        <color indexed="64"/>
      </top>
      <bottom/>
      <diagonal/>
    </border>
    <border>
      <left style="medium">
        <color indexed="64"/>
      </left>
      <right style="medium">
        <color indexed="64"/>
      </right>
      <top style="medium">
        <color indexed="64"/>
      </top>
      <bottom/>
      <diagonal/>
    </border>
    <border>
      <left style="thin">
        <color indexed="64"/>
      </left>
      <right style="thin">
        <color indexed="64"/>
      </right>
      <top style="medium">
        <color indexed="64"/>
      </top>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right style="thin">
        <color indexed="64"/>
      </right>
      <top style="medium">
        <color indexed="64"/>
      </top>
      <bottom/>
      <diagonal/>
    </border>
    <border>
      <left style="thick">
        <color rgb="FFCCCC00"/>
      </left>
      <right/>
      <top style="thick">
        <color rgb="FFCCCC00"/>
      </top>
      <bottom/>
      <diagonal/>
    </border>
    <border>
      <left/>
      <right/>
      <top style="thick">
        <color rgb="FFCCCC00"/>
      </top>
      <bottom/>
      <diagonal/>
    </border>
    <border>
      <left/>
      <right style="thick">
        <color rgb="FFCCCC00"/>
      </right>
      <top style="thick">
        <color rgb="FFCCCC00"/>
      </top>
      <bottom/>
      <diagonal/>
    </border>
    <border>
      <left style="thick">
        <color rgb="FFCCCC00"/>
      </left>
      <right/>
      <top/>
      <bottom/>
      <diagonal/>
    </border>
    <border>
      <left/>
      <right style="thick">
        <color rgb="FFCCCC00"/>
      </right>
      <top/>
      <bottom/>
      <diagonal/>
    </border>
    <border>
      <left style="thick">
        <color rgb="FFCCCC00"/>
      </left>
      <right/>
      <top/>
      <bottom style="thick">
        <color rgb="FFCCCC00"/>
      </bottom>
      <diagonal/>
    </border>
    <border>
      <left/>
      <right/>
      <top/>
      <bottom style="thick">
        <color rgb="FFCCCC00"/>
      </bottom>
      <diagonal/>
    </border>
    <border>
      <left/>
      <right style="thick">
        <color rgb="FFCCCC00"/>
      </right>
      <top/>
      <bottom style="thick">
        <color rgb="FFCCCC00"/>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thin">
        <color indexed="64"/>
      </top>
      <bottom/>
      <diagonal/>
    </border>
    <border>
      <left style="thin">
        <color indexed="64"/>
      </left>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thin">
        <color indexed="64"/>
      </left>
      <right/>
      <top style="hair">
        <color indexed="64"/>
      </top>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style="double">
        <color indexed="64"/>
      </bottom>
      <diagonal/>
    </border>
    <border>
      <left style="thin">
        <color indexed="64"/>
      </left>
      <right style="hair">
        <color indexed="64"/>
      </right>
      <top style="thin">
        <color indexed="64"/>
      </top>
      <bottom style="double">
        <color indexed="64"/>
      </bottom>
      <diagonal/>
    </border>
    <border>
      <left style="hair">
        <color indexed="64"/>
      </left>
      <right style="hair">
        <color indexed="64"/>
      </right>
      <top style="thin">
        <color indexed="64"/>
      </top>
      <bottom style="double">
        <color indexed="64"/>
      </bottom>
      <diagonal/>
    </border>
    <border>
      <left style="thin">
        <color indexed="64"/>
      </left>
      <right style="hair">
        <color indexed="64"/>
      </right>
      <top/>
      <bottom style="double">
        <color indexed="64"/>
      </bottom>
      <diagonal/>
    </border>
    <border>
      <left style="hair">
        <color indexed="64"/>
      </left>
      <right style="hair">
        <color indexed="64"/>
      </right>
      <top/>
      <bottom style="double">
        <color indexed="64"/>
      </bottom>
      <diagonal/>
    </border>
    <border>
      <left style="hair">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double">
        <color indexed="64"/>
      </top>
      <bottom/>
      <diagonal/>
    </border>
    <border>
      <left style="hair">
        <color indexed="64"/>
      </left>
      <right style="hair">
        <color indexed="64"/>
      </right>
      <top style="double">
        <color indexed="64"/>
      </top>
      <bottom/>
      <diagonal/>
    </border>
    <border>
      <left style="hair">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double">
        <color indexed="64"/>
      </right>
      <top style="medium">
        <color indexed="64"/>
      </top>
      <bottom style="thin">
        <color indexed="64"/>
      </bottom>
      <diagonal/>
    </border>
    <border>
      <left style="double">
        <color indexed="64"/>
      </left>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diagonal/>
    </border>
    <border>
      <left style="thin">
        <color indexed="64"/>
      </left>
      <right style="double">
        <color indexed="64"/>
      </right>
      <top style="thin">
        <color indexed="64"/>
      </top>
      <bottom/>
      <diagonal/>
    </border>
    <border>
      <left style="medium">
        <color indexed="64"/>
      </left>
      <right style="medium">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style="double">
        <color indexed="64"/>
      </left>
      <right/>
      <top/>
      <bottom style="medium">
        <color indexed="64"/>
      </bottom>
      <diagonal/>
    </border>
    <border>
      <left style="thin">
        <color indexed="64"/>
      </left>
      <right style="double">
        <color indexed="64"/>
      </right>
      <top/>
      <bottom style="medium">
        <color indexed="64"/>
      </bottom>
      <diagonal/>
    </border>
    <border>
      <left style="double">
        <color indexed="64"/>
      </left>
      <right style="thin">
        <color indexed="64"/>
      </right>
      <top/>
      <bottom style="thin">
        <color indexed="64"/>
      </bottom>
      <diagonal/>
    </border>
    <border>
      <left/>
      <right style="double">
        <color indexed="64"/>
      </right>
      <top/>
      <bottom style="thin">
        <color indexed="64"/>
      </bottom>
      <diagonal/>
    </border>
    <border>
      <left style="thin">
        <color indexed="64"/>
      </left>
      <right style="double">
        <color indexed="64"/>
      </right>
      <top/>
      <bottom/>
      <diagonal/>
    </border>
    <border>
      <left style="medium">
        <color indexed="64"/>
      </left>
      <right style="medium">
        <color indexed="64"/>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style="thin">
        <color indexed="64"/>
      </right>
      <top/>
      <bottom/>
      <diagonal/>
    </border>
    <border>
      <left style="double">
        <color indexed="64"/>
      </left>
      <right style="thin">
        <color indexed="64"/>
      </right>
      <top style="thin">
        <color indexed="64"/>
      </top>
      <bottom/>
      <diagonal/>
    </border>
    <border>
      <left style="medium">
        <color indexed="64"/>
      </left>
      <right style="medium">
        <color indexed="64"/>
      </right>
      <top style="thin">
        <color indexed="64"/>
      </top>
      <bottom/>
      <diagonal/>
    </border>
    <border>
      <left/>
      <right style="double">
        <color indexed="64"/>
      </right>
      <top style="thin">
        <color indexed="64"/>
      </top>
      <bottom/>
      <diagonal/>
    </border>
    <border>
      <left style="double">
        <color indexed="64"/>
      </left>
      <right style="thin">
        <color indexed="64"/>
      </right>
      <top style="thin">
        <color indexed="64"/>
      </top>
      <bottom style="thick">
        <color rgb="FFFF0000"/>
      </bottom>
      <diagonal/>
    </border>
    <border>
      <left style="thin">
        <color indexed="64"/>
      </left>
      <right style="double">
        <color indexed="64"/>
      </right>
      <top style="thin">
        <color indexed="64"/>
      </top>
      <bottom style="thick">
        <color indexed="10"/>
      </bottom>
      <diagonal/>
    </border>
    <border>
      <left/>
      <right style="thin">
        <color indexed="64"/>
      </right>
      <top style="thin">
        <color indexed="64"/>
      </top>
      <bottom style="thick">
        <color rgb="FFFF0000"/>
      </bottom>
      <diagonal/>
    </border>
    <border>
      <left style="thin">
        <color indexed="64"/>
      </left>
      <right style="medium">
        <color indexed="64"/>
      </right>
      <top style="thin">
        <color indexed="64"/>
      </top>
      <bottom style="thick">
        <color indexed="10"/>
      </bottom>
      <diagonal/>
    </border>
    <border>
      <left style="medium">
        <color indexed="64"/>
      </left>
      <right/>
      <top style="thick">
        <color indexed="10"/>
      </top>
      <bottom style="thin">
        <color indexed="64"/>
      </bottom>
      <diagonal/>
    </border>
    <border>
      <left style="medium">
        <color indexed="64"/>
      </left>
      <right style="medium">
        <color indexed="64"/>
      </right>
      <top style="thick">
        <color indexed="10"/>
      </top>
      <bottom style="thin">
        <color indexed="64"/>
      </bottom>
      <diagonal/>
    </border>
    <border>
      <left/>
      <right style="thin">
        <color indexed="64"/>
      </right>
      <top style="thick">
        <color indexed="10"/>
      </top>
      <bottom style="thin">
        <color indexed="64"/>
      </bottom>
      <diagonal/>
    </border>
    <border>
      <left style="medium">
        <color indexed="64"/>
      </left>
      <right style="thin">
        <color indexed="64"/>
      </right>
      <top style="thick">
        <color indexed="10"/>
      </top>
      <bottom style="thin">
        <color indexed="64"/>
      </bottom>
      <diagonal/>
    </border>
    <border>
      <left style="double">
        <color indexed="64"/>
      </left>
      <right style="thin">
        <color indexed="64"/>
      </right>
      <top style="thick">
        <color indexed="10"/>
      </top>
      <bottom style="thin">
        <color indexed="64"/>
      </bottom>
      <diagonal/>
    </border>
    <border>
      <left/>
      <right style="double">
        <color indexed="64"/>
      </right>
      <top style="thick">
        <color indexed="10"/>
      </top>
      <bottom style="thin">
        <color indexed="64"/>
      </bottom>
      <diagonal/>
    </border>
    <border>
      <left style="thin">
        <color indexed="64"/>
      </left>
      <right style="double">
        <color indexed="64"/>
      </right>
      <top style="thick">
        <color indexed="10"/>
      </top>
      <bottom/>
      <diagonal/>
    </border>
    <border>
      <left style="thin">
        <color indexed="64"/>
      </left>
      <right style="medium">
        <color indexed="64"/>
      </right>
      <top style="thick">
        <color indexed="10"/>
      </top>
      <bottom/>
      <diagonal/>
    </border>
    <border>
      <left style="medium">
        <color indexed="64"/>
      </left>
      <right/>
      <top style="thin">
        <color indexed="64"/>
      </top>
      <bottom style="thick">
        <color indexed="10"/>
      </bottom>
      <diagonal/>
    </border>
    <border>
      <left style="medium">
        <color indexed="64"/>
      </left>
      <right style="medium">
        <color indexed="64"/>
      </right>
      <top style="thin">
        <color indexed="64"/>
      </top>
      <bottom style="thick">
        <color indexed="10"/>
      </bottom>
      <diagonal/>
    </border>
    <border>
      <left/>
      <right style="thin">
        <color indexed="64"/>
      </right>
      <top style="thin">
        <color indexed="64"/>
      </top>
      <bottom style="thick">
        <color indexed="10"/>
      </bottom>
      <diagonal/>
    </border>
    <border>
      <left style="medium">
        <color indexed="64"/>
      </left>
      <right style="thin">
        <color indexed="64"/>
      </right>
      <top style="thin">
        <color indexed="64"/>
      </top>
      <bottom style="thick">
        <color indexed="10"/>
      </bottom>
      <diagonal/>
    </border>
    <border>
      <left style="double">
        <color indexed="64"/>
      </left>
      <right style="thin">
        <color indexed="64"/>
      </right>
      <top style="thin">
        <color indexed="64"/>
      </top>
      <bottom style="thick">
        <color indexed="10"/>
      </bottom>
      <diagonal/>
    </border>
    <border>
      <left/>
      <right style="double">
        <color indexed="64"/>
      </right>
      <top style="thin">
        <color indexed="64"/>
      </top>
      <bottom style="thick">
        <color indexed="10"/>
      </bottom>
      <diagonal/>
    </border>
    <border>
      <left style="thin">
        <color indexed="64"/>
      </left>
      <right style="double">
        <color indexed="64"/>
      </right>
      <top style="thin">
        <color indexed="64"/>
      </top>
      <bottom style="thick">
        <color rgb="FFFF0000"/>
      </bottom>
      <diagonal/>
    </border>
    <border>
      <left/>
      <right style="double">
        <color indexed="64"/>
      </right>
      <top style="thin">
        <color indexed="64"/>
      </top>
      <bottom style="medium">
        <color indexed="64"/>
      </bottom>
      <diagonal/>
    </border>
    <border>
      <left style="thin">
        <color indexed="64"/>
      </left>
      <right style="double">
        <color indexed="64"/>
      </right>
      <top/>
      <bottom style="thin">
        <color indexed="64"/>
      </bottom>
      <diagonal/>
    </border>
    <border>
      <left style="thin">
        <color indexed="64"/>
      </left>
      <right style="double">
        <color indexed="64"/>
      </right>
      <top style="thick">
        <color indexed="10"/>
      </top>
      <bottom style="thin">
        <color indexed="64"/>
      </bottom>
      <diagonal/>
    </border>
    <border>
      <left style="thin">
        <color indexed="64"/>
      </left>
      <right style="medium">
        <color indexed="64"/>
      </right>
      <top style="thick">
        <color indexed="10"/>
      </top>
      <bottom style="thin">
        <color indexed="64"/>
      </bottom>
      <diagonal/>
    </border>
    <border>
      <left/>
      <right/>
      <top style="hair">
        <color auto="1"/>
      </top>
      <bottom style="hair">
        <color auto="1"/>
      </bottom>
      <diagonal/>
    </border>
    <border>
      <left style="medium">
        <color indexed="64"/>
      </left>
      <right style="medium">
        <color indexed="64"/>
      </right>
      <top style="thin">
        <color indexed="64"/>
      </top>
      <bottom style="thick">
        <color rgb="FFFF0000"/>
      </bottom>
      <diagonal/>
    </border>
    <border>
      <left style="thin">
        <color indexed="64"/>
      </left>
      <right style="medium">
        <color indexed="64"/>
      </right>
      <top style="thin">
        <color indexed="64"/>
      </top>
      <bottom style="thick">
        <color rgb="FFFF0000"/>
      </bottom>
      <diagonal/>
    </border>
    <border>
      <left/>
      <right/>
      <top style="hair">
        <color auto="1"/>
      </top>
      <bottom style="thin">
        <color indexed="64"/>
      </bottom>
      <diagonal/>
    </border>
    <border diagonalUp="1">
      <left/>
      <right style="thin">
        <color indexed="64"/>
      </right>
      <top style="medium">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thick">
        <color indexed="10"/>
      </bottom>
      <diagonal style="thin">
        <color indexed="64"/>
      </diagonal>
    </border>
    <border diagonalUp="1">
      <left style="medium">
        <color indexed="64"/>
      </left>
      <right style="thin">
        <color indexed="64"/>
      </right>
      <top style="medium">
        <color indexed="64"/>
      </top>
      <bottom style="thin">
        <color indexed="64"/>
      </bottom>
      <diagonal style="thin">
        <color indexed="64"/>
      </diagonal>
    </border>
    <border diagonalUp="1">
      <left style="double">
        <color indexed="64"/>
      </left>
      <right style="thin">
        <color indexed="64"/>
      </right>
      <top style="medium">
        <color indexed="64"/>
      </top>
      <bottom style="thin">
        <color indexed="64"/>
      </bottom>
      <diagonal style="thin">
        <color indexed="64"/>
      </diagonal>
    </border>
    <border diagonalUp="1">
      <left/>
      <right style="double">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diagonalUp="1">
      <left style="double">
        <color indexed="64"/>
      </left>
      <right style="thin">
        <color indexed="64"/>
      </right>
      <top style="thin">
        <color indexed="64"/>
      </top>
      <bottom style="thin">
        <color indexed="64"/>
      </bottom>
      <diagonal style="thin">
        <color indexed="64"/>
      </diagonal>
    </border>
    <border diagonalUp="1">
      <left/>
      <right style="double">
        <color indexed="64"/>
      </right>
      <top style="thin">
        <color indexed="64"/>
      </top>
      <bottom style="thin">
        <color indexed="64"/>
      </bottom>
      <diagonal style="thin">
        <color indexed="64"/>
      </diagonal>
    </border>
    <border diagonalUp="1">
      <left style="medium">
        <color indexed="64"/>
      </left>
      <right style="thin">
        <color indexed="64"/>
      </right>
      <top style="thin">
        <color indexed="64"/>
      </top>
      <bottom style="thick">
        <color indexed="10"/>
      </bottom>
      <diagonal style="thin">
        <color indexed="64"/>
      </diagonal>
    </border>
    <border diagonalUp="1">
      <left style="double">
        <color indexed="64"/>
      </left>
      <right style="thin">
        <color indexed="64"/>
      </right>
      <top style="thin">
        <color indexed="64"/>
      </top>
      <bottom style="thick">
        <color indexed="10"/>
      </bottom>
      <diagonal style="thin">
        <color indexed="64"/>
      </diagonal>
    </border>
    <border diagonalUp="1">
      <left/>
      <right style="double">
        <color indexed="64"/>
      </right>
      <top style="thin">
        <color indexed="64"/>
      </top>
      <bottom style="thick">
        <color indexed="10"/>
      </bottom>
      <diagonal style="thin">
        <color indexed="64"/>
      </diagonal>
    </border>
  </borders>
  <cellStyleXfs count="45">
    <xf numFmtId="0" fontId="0" fillId="0" borderId="0"/>
    <xf numFmtId="0" fontId="12" fillId="2" borderId="0" applyNumberFormat="0" applyBorder="0" applyAlignment="0" applyProtection="0">
      <alignment vertical="center"/>
    </xf>
    <xf numFmtId="0" fontId="12" fillId="3" borderId="0" applyNumberFormat="0" applyBorder="0" applyAlignment="0" applyProtection="0">
      <alignment vertical="center"/>
    </xf>
    <xf numFmtId="0" fontId="12" fillId="4" borderId="0" applyNumberFormat="0" applyBorder="0" applyAlignment="0" applyProtection="0">
      <alignment vertical="center"/>
    </xf>
    <xf numFmtId="0" fontId="12" fillId="5" borderId="0" applyNumberFormat="0" applyBorder="0" applyAlignment="0" applyProtection="0">
      <alignment vertical="center"/>
    </xf>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5" borderId="0" applyNumberFormat="0" applyBorder="0" applyAlignment="0" applyProtection="0">
      <alignment vertical="center"/>
    </xf>
    <xf numFmtId="0" fontId="13" fillId="16" borderId="0" applyNumberFormat="0" applyBorder="0" applyAlignment="0" applyProtection="0">
      <alignment vertical="center"/>
    </xf>
    <xf numFmtId="0" fontId="13" fillId="17" borderId="0" applyNumberFormat="0" applyBorder="0" applyAlignment="0" applyProtection="0">
      <alignment vertical="center"/>
    </xf>
    <xf numFmtId="0" fontId="13" fillId="18"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9" borderId="0" applyNumberFormat="0" applyBorder="0" applyAlignment="0" applyProtection="0">
      <alignment vertical="center"/>
    </xf>
    <xf numFmtId="0" fontId="14" fillId="0" borderId="0" applyNumberFormat="0" applyFill="0" applyBorder="0" applyAlignment="0" applyProtection="0">
      <alignment vertical="center"/>
    </xf>
    <xf numFmtId="0" fontId="15" fillId="20" borderId="1" applyNumberFormat="0" applyAlignment="0" applyProtection="0">
      <alignment vertical="center"/>
    </xf>
    <xf numFmtId="0" fontId="16" fillId="21" borderId="0" applyNumberFormat="0" applyBorder="0" applyAlignment="0" applyProtection="0">
      <alignment vertical="center"/>
    </xf>
    <xf numFmtId="0" fontId="9" fillId="22" borderId="2" applyNumberFormat="0" applyFont="0" applyAlignment="0" applyProtection="0">
      <alignment vertical="center"/>
    </xf>
    <xf numFmtId="0" fontId="17" fillId="0" borderId="3" applyNumberFormat="0" applyFill="0" applyAlignment="0" applyProtection="0">
      <alignment vertical="center"/>
    </xf>
    <xf numFmtId="0" fontId="18" fillId="3" borderId="0" applyNumberFormat="0" applyBorder="0" applyAlignment="0" applyProtection="0">
      <alignment vertical="center"/>
    </xf>
    <xf numFmtId="0" fontId="19" fillId="23" borderId="4" applyNumberFormat="0" applyAlignment="0" applyProtection="0">
      <alignment vertical="center"/>
    </xf>
    <xf numFmtId="0" fontId="20" fillId="0" borderId="0" applyNumberFormat="0" applyFill="0" applyBorder="0" applyAlignment="0" applyProtection="0">
      <alignment vertical="center"/>
    </xf>
    <xf numFmtId="38" fontId="1" fillId="0" borderId="0" applyFont="0" applyFill="0" applyBorder="0" applyAlignment="0" applyProtection="0"/>
    <xf numFmtId="0" fontId="21" fillId="0" borderId="5" applyNumberFormat="0" applyFill="0" applyAlignment="0" applyProtection="0">
      <alignment vertical="center"/>
    </xf>
    <xf numFmtId="0" fontId="22" fillId="0" borderId="6" applyNumberFormat="0" applyFill="0" applyAlignment="0" applyProtection="0">
      <alignment vertical="center"/>
    </xf>
    <xf numFmtId="0" fontId="23" fillId="0" borderId="7" applyNumberFormat="0" applyFill="0" applyAlignment="0" applyProtection="0">
      <alignment vertical="center"/>
    </xf>
    <xf numFmtId="0" fontId="23" fillId="0" borderId="0" applyNumberFormat="0" applyFill="0" applyBorder="0" applyAlignment="0" applyProtection="0">
      <alignment vertical="center"/>
    </xf>
    <xf numFmtId="0" fontId="24" fillId="0" borderId="8" applyNumberFormat="0" applyFill="0" applyAlignment="0" applyProtection="0">
      <alignment vertical="center"/>
    </xf>
    <xf numFmtId="0" fontId="25" fillId="23" borderId="9" applyNumberFormat="0" applyAlignment="0" applyProtection="0">
      <alignment vertical="center"/>
    </xf>
    <xf numFmtId="0" fontId="26" fillId="0" borderId="0" applyNumberFormat="0" applyFill="0" applyBorder="0" applyAlignment="0" applyProtection="0">
      <alignment vertical="center"/>
    </xf>
    <xf numFmtId="0" fontId="27" fillId="7" borderId="4" applyNumberFormat="0" applyAlignment="0" applyProtection="0">
      <alignment vertical="center"/>
    </xf>
    <xf numFmtId="0" fontId="28" fillId="4" borderId="0" applyNumberFormat="0" applyBorder="0" applyAlignment="0" applyProtection="0">
      <alignment vertical="center"/>
    </xf>
    <xf numFmtId="0" fontId="1" fillId="0" borderId="0">
      <alignment vertical="center"/>
    </xf>
    <xf numFmtId="0" fontId="1" fillId="22" borderId="2" applyNumberFormat="0" applyFont="0" applyAlignment="0" applyProtection="0">
      <alignment vertical="center"/>
    </xf>
  </cellStyleXfs>
  <cellXfs count="2037">
    <xf numFmtId="0" fontId="0" fillId="0" borderId="0" xfId="0"/>
    <xf numFmtId="0" fontId="0" fillId="0" borderId="0" xfId="0" applyBorder="1"/>
    <xf numFmtId="0" fontId="3" fillId="0" borderId="0" xfId="0" applyFont="1"/>
    <xf numFmtId="177" fontId="0" fillId="0" borderId="0" xfId="0" applyNumberFormat="1" applyBorder="1"/>
    <xf numFmtId="0" fontId="3" fillId="0" borderId="10" xfId="0" applyFont="1" applyBorder="1" applyAlignment="1">
      <alignment horizontal="center" vertical="center"/>
    </xf>
    <xf numFmtId="0" fontId="5" fillId="0" borderId="0" xfId="0" applyFont="1" applyFill="1" applyBorder="1" applyAlignment="1">
      <alignment horizontal="center" vertical="center"/>
    </xf>
    <xf numFmtId="0" fontId="0" fillId="0" borderId="0" xfId="0" applyAlignment="1">
      <alignment vertical="center"/>
    </xf>
    <xf numFmtId="0" fontId="4" fillId="0" borderId="0" xfId="0" applyFont="1" applyAlignment="1">
      <alignment vertical="center"/>
    </xf>
    <xf numFmtId="0" fontId="0" fillId="0" borderId="11" xfId="0" applyBorder="1" applyAlignment="1">
      <alignment vertical="center"/>
    </xf>
    <xf numFmtId="0" fontId="0" fillId="0" borderId="12" xfId="0" applyBorder="1" applyAlignment="1">
      <alignment vertical="center"/>
    </xf>
    <xf numFmtId="0" fontId="3" fillId="0" borderId="13" xfId="0" applyFont="1" applyBorder="1" applyAlignment="1">
      <alignment horizontal="center" vertical="center"/>
    </xf>
    <xf numFmtId="0" fontId="3" fillId="0" borderId="0" xfId="0" applyFont="1" applyBorder="1" applyAlignment="1">
      <alignment horizontal="center" vertical="center"/>
    </xf>
    <xf numFmtId="0" fontId="3" fillId="0" borderId="16" xfId="0" applyFont="1" applyBorder="1" applyAlignment="1">
      <alignment horizontal="center" vertical="center"/>
    </xf>
    <xf numFmtId="0" fontId="0" fillId="0" borderId="10" xfId="0" applyBorder="1" applyAlignment="1">
      <alignment vertical="center"/>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3" fillId="0" borderId="19" xfId="0" applyFont="1" applyBorder="1" applyAlignment="1">
      <alignment horizontal="center" vertical="center"/>
    </xf>
    <xf numFmtId="0" fontId="3" fillId="0" borderId="20" xfId="0" applyFont="1" applyBorder="1" applyAlignment="1">
      <alignment horizontal="center" vertical="center"/>
    </xf>
    <xf numFmtId="0" fontId="0" fillId="0" borderId="21" xfId="0" applyBorder="1" applyAlignment="1">
      <alignment vertical="center"/>
    </xf>
    <xf numFmtId="0" fontId="0" fillId="0" borderId="22" xfId="0" applyBorder="1" applyAlignment="1">
      <alignment vertical="center"/>
    </xf>
    <xf numFmtId="0" fontId="3" fillId="0" borderId="24" xfId="0" applyFont="1" applyBorder="1" applyAlignment="1">
      <alignment horizontal="center" vertical="center"/>
    </xf>
    <xf numFmtId="0" fontId="3" fillId="0" borderId="25" xfId="0" applyFont="1" applyBorder="1" applyAlignment="1">
      <alignment horizontal="center" vertical="center"/>
    </xf>
    <xf numFmtId="0" fontId="3" fillId="0" borderId="26" xfId="0" applyFont="1" applyBorder="1" applyAlignment="1">
      <alignment horizontal="center" vertical="center"/>
    </xf>
    <xf numFmtId="0" fontId="0" fillId="0" borderId="27" xfId="0" applyBorder="1" applyAlignment="1">
      <alignment vertical="center"/>
    </xf>
    <xf numFmtId="0" fontId="0" fillId="0" borderId="28" xfId="0" applyBorder="1" applyAlignment="1">
      <alignment vertical="center"/>
    </xf>
    <xf numFmtId="0" fontId="3" fillId="0" borderId="27" xfId="0" applyFont="1" applyBorder="1" applyAlignment="1">
      <alignment horizontal="center" vertical="center"/>
    </xf>
    <xf numFmtId="0" fontId="0" fillId="0" borderId="29" xfId="0" applyBorder="1" applyAlignment="1">
      <alignment vertical="center"/>
    </xf>
    <xf numFmtId="0" fontId="3" fillId="0" borderId="30" xfId="0" applyFont="1" applyBorder="1" applyAlignment="1">
      <alignment horizontal="center" vertical="center"/>
    </xf>
    <xf numFmtId="0" fontId="3" fillId="0" borderId="31" xfId="0" applyFont="1" applyBorder="1" applyAlignment="1">
      <alignment horizontal="center" vertical="center"/>
    </xf>
    <xf numFmtId="0" fontId="0" fillId="0" borderId="17" xfId="0" applyBorder="1" applyAlignment="1">
      <alignment vertical="center"/>
    </xf>
    <xf numFmtId="0" fontId="0" fillId="0" borderId="18" xfId="0" applyBorder="1" applyAlignment="1">
      <alignment vertical="center"/>
    </xf>
    <xf numFmtId="0" fontId="0" fillId="0" borderId="23" xfId="0" applyBorder="1" applyAlignment="1">
      <alignment vertical="center"/>
    </xf>
    <xf numFmtId="0" fontId="0" fillId="0" borderId="32" xfId="0" applyBorder="1" applyAlignment="1">
      <alignment vertical="center"/>
    </xf>
    <xf numFmtId="0" fontId="3" fillId="0" borderId="33" xfId="0" applyFont="1" applyBorder="1" applyAlignment="1">
      <alignment horizontal="center" vertical="center"/>
    </xf>
    <xf numFmtId="0" fontId="0" fillId="0" borderId="25" xfId="0" applyBorder="1" applyAlignment="1">
      <alignment vertical="center"/>
    </xf>
    <xf numFmtId="0" fontId="0" fillId="0" borderId="34" xfId="0" applyBorder="1" applyAlignment="1">
      <alignment vertical="center"/>
    </xf>
    <xf numFmtId="0" fontId="0" fillId="0" borderId="35" xfId="0" applyBorder="1" applyAlignment="1">
      <alignment vertical="center"/>
    </xf>
    <xf numFmtId="0" fontId="3" fillId="0" borderId="12" xfId="0" applyFont="1" applyBorder="1" applyAlignment="1">
      <alignment horizontal="center" vertical="center"/>
    </xf>
    <xf numFmtId="0" fontId="3" fillId="0" borderId="10" xfId="0" applyFont="1" applyBorder="1" applyAlignment="1">
      <alignment vertical="center"/>
    </xf>
    <xf numFmtId="0" fontId="0" fillId="0" borderId="37" xfId="0" applyBorder="1" applyAlignment="1">
      <alignment vertical="center"/>
    </xf>
    <xf numFmtId="0" fontId="5" fillId="0" borderId="24" xfId="0" applyFont="1" applyFill="1" applyBorder="1" applyAlignment="1">
      <alignment horizontal="center" vertical="center"/>
    </xf>
    <xf numFmtId="0" fontId="3" fillId="0" borderId="37" xfId="0" applyFont="1" applyBorder="1" applyAlignment="1">
      <alignment horizontal="center" vertical="center"/>
    </xf>
    <xf numFmtId="0" fontId="3" fillId="0" borderId="40" xfId="0" applyFont="1" applyBorder="1" applyAlignment="1">
      <alignment horizontal="center" vertical="center"/>
    </xf>
    <xf numFmtId="0" fontId="3" fillId="0" borderId="41" xfId="0" applyFont="1" applyBorder="1" applyAlignment="1">
      <alignment vertical="center"/>
    </xf>
    <xf numFmtId="0" fontId="3" fillId="0" borderId="42" xfId="0" applyFont="1" applyBorder="1" applyAlignment="1">
      <alignment horizontal="center" vertical="center"/>
    </xf>
    <xf numFmtId="0" fontId="3" fillId="0" borderId="43" xfId="0" applyFont="1" applyBorder="1" applyAlignment="1">
      <alignment horizontal="center" vertical="center"/>
    </xf>
    <xf numFmtId="0" fontId="3" fillId="0" borderId="41" xfId="0" applyFont="1" applyBorder="1" applyAlignment="1">
      <alignment horizontal="center" vertical="center"/>
    </xf>
    <xf numFmtId="0" fontId="0" fillId="0" borderId="0" xfId="0" applyBorder="1" applyAlignment="1">
      <alignment vertical="center"/>
    </xf>
    <xf numFmtId="0" fontId="0" fillId="0" borderId="45" xfId="0" applyBorder="1" applyAlignment="1">
      <alignment vertical="center"/>
    </xf>
    <xf numFmtId="0" fontId="0" fillId="0" borderId="0" xfId="0" applyNumberFormat="1" applyAlignment="1">
      <alignment vertical="center"/>
    </xf>
    <xf numFmtId="0" fontId="0" fillId="0" borderId="49" xfId="0" applyBorder="1" applyAlignment="1">
      <alignment vertical="center"/>
    </xf>
    <xf numFmtId="0" fontId="0" fillId="0" borderId="44" xfId="0" applyBorder="1" applyAlignment="1">
      <alignment vertical="center"/>
    </xf>
    <xf numFmtId="0" fontId="3" fillId="0" borderId="21" xfId="0" applyFont="1" applyBorder="1" applyAlignment="1">
      <alignment horizontal="center" vertical="center"/>
    </xf>
    <xf numFmtId="0" fontId="3" fillId="0" borderId="22" xfId="0" applyFont="1" applyBorder="1" applyAlignment="1">
      <alignment horizontal="center" vertical="center"/>
    </xf>
    <xf numFmtId="0" fontId="7" fillId="0" borderId="0" xfId="0" applyFont="1" applyAlignment="1">
      <alignment vertical="center"/>
    </xf>
    <xf numFmtId="0" fontId="6" fillId="0" borderId="56" xfId="0" applyFont="1" applyFill="1" applyBorder="1" applyAlignment="1">
      <alignment horizontal="center" vertical="center"/>
    </xf>
    <xf numFmtId="0" fontId="6" fillId="0" borderId="57" xfId="0" applyFont="1" applyBorder="1" applyAlignment="1">
      <alignment horizontal="center" vertical="center"/>
    </xf>
    <xf numFmtId="0" fontId="5" fillId="0" borderId="58" xfId="0" applyFont="1" applyBorder="1" applyAlignment="1">
      <alignment vertical="center"/>
    </xf>
    <xf numFmtId="182" fontId="1" fillId="0" borderId="38" xfId="0" applyNumberFormat="1" applyFont="1" applyBorder="1" applyAlignment="1">
      <alignment horizontal="left" vertical="center"/>
    </xf>
    <xf numFmtId="0" fontId="1" fillId="0" borderId="39" xfId="0" applyFont="1" applyBorder="1" applyAlignment="1">
      <alignment horizontal="right" vertical="center"/>
    </xf>
    <xf numFmtId="182" fontId="1" fillId="0" borderId="61" xfId="0" applyNumberFormat="1" applyFont="1" applyBorder="1" applyAlignment="1">
      <alignment horizontal="left" vertical="center"/>
    </xf>
    <xf numFmtId="0" fontId="5" fillId="0" borderId="59" xfId="0" applyFont="1" applyBorder="1" applyAlignment="1">
      <alignment vertical="center"/>
    </xf>
    <xf numFmtId="0" fontId="1" fillId="0" borderId="62" xfId="0" applyFont="1" applyBorder="1" applyAlignment="1">
      <alignment horizontal="right" vertical="center"/>
    </xf>
    <xf numFmtId="0" fontId="0" fillId="0" borderId="45" xfId="0" applyNumberFormat="1" applyBorder="1" applyAlignment="1">
      <alignment vertical="center"/>
    </xf>
    <xf numFmtId="0" fontId="3" fillId="0" borderId="34" xfId="0" applyNumberFormat="1" applyFont="1" applyBorder="1" applyAlignment="1">
      <alignment horizontal="center" vertical="center"/>
    </xf>
    <xf numFmtId="0" fontId="3" fillId="0" borderId="44" xfId="0" applyNumberFormat="1" applyFont="1" applyBorder="1" applyAlignment="1">
      <alignment vertical="center"/>
    </xf>
    <xf numFmtId="0" fontId="0" fillId="0" borderId="34" xfId="0" applyNumberFormat="1" applyBorder="1" applyAlignment="1">
      <alignment vertical="center"/>
    </xf>
    <xf numFmtId="0" fontId="0" fillId="0" borderId="44" xfId="0" applyNumberFormat="1" applyBorder="1" applyAlignment="1">
      <alignment vertical="center"/>
    </xf>
    <xf numFmtId="179" fontId="3" fillId="24" borderId="67" xfId="0" applyNumberFormat="1" applyFont="1" applyFill="1" applyBorder="1" applyAlignment="1" applyProtection="1">
      <alignment horizontal="center" vertical="center"/>
      <protection locked="0"/>
    </xf>
    <xf numFmtId="179" fontId="3" fillId="24" borderId="13" xfId="0" applyNumberFormat="1" applyFont="1" applyFill="1" applyBorder="1" applyAlignment="1" applyProtection="1">
      <alignment horizontal="center" vertical="center"/>
      <protection locked="0"/>
    </xf>
    <xf numFmtId="179" fontId="3" fillId="24" borderId="43" xfId="0" applyNumberFormat="1" applyFont="1" applyFill="1" applyBorder="1" applyAlignment="1" applyProtection="1">
      <alignment horizontal="center" vertical="center"/>
      <protection locked="0"/>
    </xf>
    <xf numFmtId="0" fontId="0" fillId="0" borderId="22" xfId="0" applyBorder="1" applyAlignment="1" applyProtection="1">
      <alignment vertical="center"/>
      <protection locked="0"/>
    </xf>
    <xf numFmtId="0" fontId="0" fillId="0" borderId="28" xfId="0" applyBorder="1" applyAlignment="1" applyProtection="1">
      <alignment vertical="center"/>
      <protection locked="0"/>
    </xf>
    <xf numFmtId="0" fontId="0" fillId="0" borderId="29" xfId="0" applyBorder="1" applyAlignment="1" applyProtection="1">
      <alignment vertical="center"/>
      <protection locked="0"/>
    </xf>
    <xf numFmtId="0" fontId="0" fillId="0" borderId="18" xfId="0" applyBorder="1" applyAlignment="1" applyProtection="1">
      <alignment vertical="center"/>
      <protection locked="0"/>
    </xf>
    <xf numFmtId="0" fontId="0" fillId="0" borderId="32" xfId="0" applyBorder="1" applyAlignment="1" applyProtection="1">
      <alignment vertical="center"/>
      <protection locked="0"/>
    </xf>
    <xf numFmtId="0" fontId="0" fillId="0" borderId="34" xfId="0" applyBorder="1" applyAlignment="1" applyProtection="1">
      <alignment vertical="center"/>
      <protection locked="0"/>
    </xf>
    <xf numFmtId="181" fontId="3" fillId="0" borderId="68" xfId="0" applyNumberFormat="1" applyFont="1" applyFill="1" applyBorder="1" applyAlignment="1" applyProtection="1">
      <alignment horizontal="center" vertical="center"/>
      <protection hidden="1"/>
    </xf>
    <xf numFmtId="0" fontId="0" fillId="0" borderId="0" xfId="0" applyAlignment="1" applyProtection="1">
      <alignment vertical="center"/>
      <protection hidden="1"/>
    </xf>
    <xf numFmtId="181" fontId="0" fillId="0" borderId="65" xfId="0" applyNumberFormat="1" applyFill="1" applyBorder="1" applyAlignment="1" applyProtection="1">
      <alignment vertical="center"/>
      <protection hidden="1"/>
    </xf>
    <xf numFmtId="181" fontId="0" fillId="0" borderId="55" xfId="0" applyNumberFormat="1" applyBorder="1" applyAlignment="1" applyProtection="1">
      <alignment vertical="center"/>
      <protection hidden="1"/>
    </xf>
    <xf numFmtId="181" fontId="0" fillId="0" borderId="0" xfId="0" applyNumberFormat="1" applyFill="1" applyBorder="1" applyAlignment="1" applyProtection="1">
      <alignment vertical="center"/>
      <protection hidden="1"/>
    </xf>
    <xf numFmtId="181" fontId="0" fillId="0" borderId="65" xfId="0" applyNumberFormat="1" applyBorder="1" applyAlignment="1" applyProtection="1">
      <alignment vertical="center"/>
      <protection hidden="1"/>
    </xf>
    <xf numFmtId="0" fontId="0" fillId="0" borderId="34" xfId="0" applyBorder="1" applyAlignment="1" applyProtection="1">
      <alignment vertical="center"/>
      <protection hidden="1"/>
    </xf>
    <xf numFmtId="0" fontId="0" fillId="0" borderId="44" xfId="0" applyBorder="1" applyAlignment="1" applyProtection="1">
      <alignment vertical="center"/>
      <protection hidden="1"/>
    </xf>
    <xf numFmtId="0" fontId="3" fillId="0" borderId="0" xfId="0" applyFont="1" applyBorder="1" applyAlignment="1" applyProtection="1">
      <alignment vertical="center"/>
      <protection hidden="1"/>
    </xf>
    <xf numFmtId="184" fontId="1" fillId="0" borderId="67" xfId="0" applyNumberFormat="1" applyFont="1" applyFill="1" applyBorder="1" applyAlignment="1" applyProtection="1">
      <alignment vertical="center"/>
      <protection hidden="1"/>
    </xf>
    <xf numFmtId="0" fontId="0" fillId="0" borderId="60" xfId="0" applyNumberFormat="1" applyFill="1" applyBorder="1" applyAlignment="1" applyProtection="1">
      <alignment vertical="center"/>
      <protection hidden="1"/>
    </xf>
    <xf numFmtId="177" fontId="0" fillId="0" borderId="38" xfId="0" applyNumberFormat="1" applyBorder="1" applyAlignment="1" applyProtection="1">
      <alignment horizontal="right" vertical="center"/>
      <protection hidden="1"/>
    </xf>
    <xf numFmtId="177" fontId="0" fillId="0" borderId="0" xfId="0" applyNumberFormat="1" applyFill="1" applyBorder="1" applyAlignment="1" applyProtection="1">
      <alignment vertical="center"/>
      <protection hidden="1"/>
    </xf>
    <xf numFmtId="0" fontId="0" fillId="0" borderId="60" xfId="0" applyNumberFormat="1" applyBorder="1" applyAlignment="1" applyProtection="1">
      <alignment vertical="center"/>
      <protection hidden="1"/>
    </xf>
    <xf numFmtId="177" fontId="0" fillId="0" borderId="0" xfId="0" applyNumberFormat="1" applyBorder="1" applyAlignment="1" applyProtection="1">
      <alignment vertical="center"/>
      <protection hidden="1"/>
    </xf>
    <xf numFmtId="184" fontId="1" fillId="0" borderId="68" xfId="0" applyNumberFormat="1" applyFont="1" applyFill="1" applyBorder="1" applyAlignment="1" applyProtection="1">
      <alignment vertical="center"/>
      <protection hidden="1"/>
    </xf>
    <xf numFmtId="181" fontId="0" fillId="0" borderId="11" xfId="0" applyNumberFormat="1" applyBorder="1" applyAlignment="1" applyProtection="1">
      <alignment vertical="center"/>
      <protection hidden="1"/>
    </xf>
    <xf numFmtId="0" fontId="0" fillId="0" borderId="33" xfId="0" applyNumberFormat="1" applyBorder="1" applyAlignment="1" applyProtection="1">
      <alignment vertical="center"/>
      <protection hidden="1"/>
    </xf>
    <xf numFmtId="177" fontId="0" fillId="0" borderId="39" xfId="0" applyNumberFormat="1" applyBorder="1" applyAlignment="1" applyProtection="1">
      <alignment horizontal="right" vertical="center"/>
      <protection hidden="1"/>
    </xf>
    <xf numFmtId="181" fontId="0" fillId="0" borderId="0" xfId="0" applyNumberFormat="1" applyBorder="1" applyAlignment="1" applyProtection="1">
      <alignment vertical="center"/>
      <protection hidden="1"/>
    </xf>
    <xf numFmtId="0" fontId="0" fillId="0" borderId="34" xfId="0" applyNumberFormat="1" applyFill="1" applyBorder="1" applyAlignment="1" applyProtection="1">
      <alignment vertical="center"/>
      <protection hidden="1"/>
    </xf>
    <xf numFmtId="177" fontId="0" fillId="0" borderId="61" xfId="0" applyNumberFormat="1" applyBorder="1" applyAlignment="1" applyProtection="1">
      <alignment horizontal="right" vertical="center"/>
      <protection hidden="1"/>
    </xf>
    <xf numFmtId="0" fontId="0" fillId="0" borderId="34" xfId="0" applyNumberFormat="1" applyBorder="1" applyAlignment="1" applyProtection="1">
      <alignment vertical="center"/>
      <protection hidden="1"/>
    </xf>
    <xf numFmtId="0" fontId="0" fillId="0" borderId="44" xfId="0" applyNumberFormat="1" applyBorder="1" applyAlignment="1" applyProtection="1">
      <alignment vertical="center"/>
      <protection hidden="1"/>
    </xf>
    <xf numFmtId="177" fontId="0" fillId="0" borderId="62" xfId="0" applyNumberFormat="1" applyBorder="1" applyAlignment="1" applyProtection="1">
      <alignment horizontal="right" vertical="center"/>
      <protection hidden="1"/>
    </xf>
    <xf numFmtId="180" fontId="7" fillId="0" borderId="0" xfId="0" applyNumberFormat="1" applyFont="1" applyAlignment="1" applyProtection="1">
      <alignment horizontal="left" vertical="center"/>
      <protection hidden="1"/>
    </xf>
    <xf numFmtId="0" fontId="7" fillId="0" borderId="0" xfId="0" applyFont="1" applyAlignment="1">
      <alignment horizontal="left" vertical="center"/>
    </xf>
    <xf numFmtId="0" fontId="0" fillId="0" borderId="22" xfId="0" applyBorder="1" applyAlignment="1" applyProtection="1">
      <alignment vertical="center"/>
    </xf>
    <xf numFmtId="0" fontId="0" fillId="0" borderId="28" xfId="0" applyBorder="1" applyAlignment="1" applyProtection="1">
      <alignment vertical="center"/>
    </xf>
    <xf numFmtId="0" fontId="0" fillId="0" borderId="18" xfId="0" applyBorder="1" applyAlignment="1" applyProtection="1">
      <alignment vertical="center"/>
    </xf>
    <xf numFmtId="0" fontId="0" fillId="0" borderId="32" xfId="0" applyBorder="1" applyAlignment="1" applyProtection="1">
      <alignment vertical="center"/>
    </xf>
    <xf numFmtId="0" fontId="0" fillId="0" borderId="29" xfId="0" applyBorder="1" applyAlignment="1" applyProtection="1">
      <alignment vertical="center"/>
    </xf>
    <xf numFmtId="0" fontId="0" fillId="0" borderId="34" xfId="0" applyBorder="1" applyAlignment="1" applyProtection="1">
      <alignment vertical="center"/>
    </xf>
    <xf numFmtId="179" fontId="8" fillId="0" borderId="22" xfId="0" applyNumberFormat="1" applyFont="1" applyFill="1" applyBorder="1" applyAlignment="1">
      <alignment horizontal="center" vertical="center"/>
    </xf>
    <xf numFmtId="179" fontId="8" fillId="0" borderId="16" xfId="0" applyNumberFormat="1" applyFont="1" applyFill="1" applyBorder="1" applyAlignment="1">
      <alignment horizontal="center" vertical="center"/>
    </xf>
    <xf numFmtId="179" fontId="8" fillId="0" borderId="21" xfId="0" applyNumberFormat="1" applyFont="1" applyFill="1" applyBorder="1" applyAlignment="1">
      <alignment horizontal="center" vertical="center"/>
    </xf>
    <xf numFmtId="0" fontId="1" fillId="0" borderId="38" xfId="0" applyFont="1" applyBorder="1" applyAlignment="1">
      <alignment horizontal="right" vertical="center"/>
    </xf>
    <xf numFmtId="0" fontId="9" fillId="0" borderId="22" xfId="0" applyFont="1" applyBorder="1" applyAlignment="1">
      <alignment vertical="center"/>
    </xf>
    <xf numFmtId="0" fontId="9" fillId="0" borderId="28" xfId="0" applyFont="1" applyBorder="1" applyAlignment="1">
      <alignment vertical="center"/>
    </xf>
    <xf numFmtId="0" fontId="9" fillId="0" borderId="18" xfId="0" applyFont="1" applyBorder="1" applyAlignment="1">
      <alignment vertical="center"/>
    </xf>
    <xf numFmtId="0" fontId="9" fillId="0" borderId="21" xfId="0" applyFont="1" applyBorder="1" applyAlignment="1">
      <alignment vertical="center"/>
    </xf>
    <xf numFmtId="0" fontId="9" fillId="0" borderId="27" xfId="0" applyFont="1" applyBorder="1" applyAlignment="1">
      <alignment vertical="center"/>
    </xf>
    <xf numFmtId="0" fontId="9" fillId="0" borderId="17" xfId="0" applyFont="1" applyBorder="1" applyAlignment="1">
      <alignment vertical="center"/>
    </xf>
    <xf numFmtId="176" fontId="0" fillId="0" borderId="18" xfId="0" applyNumberFormat="1" applyBorder="1" applyAlignment="1" applyProtection="1">
      <alignment vertical="center"/>
      <protection locked="0"/>
    </xf>
    <xf numFmtId="0" fontId="1" fillId="0" borderId="61" xfId="0" applyFont="1" applyBorder="1" applyAlignment="1">
      <alignment horizontal="right" vertical="center"/>
    </xf>
    <xf numFmtId="0" fontId="3" fillId="0" borderId="28" xfId="0" applyFont="1" applyBorder="1" applyAlignment="1">
      <alignment horizontal="center" vertical="center"/>
    </xf>
    <xf numFmtId="179" fontId="8" fillId="0" borderId="13" xfId="0" applyNumberFormat="1" applyFont="1" applyFill="1" applyBorder="1" applyAlignment="1">
      <alignment horizontal="center" vertical="center"/>
    </xf>
    <xf numFmtId="0" fontId="0" fillId="0" borderId="13" xfId="0" applyBorder="1" applyAlignment="1" applyProtection="1">
      <alignment vertical="center"/>
      <protection locked="0"/>
    </xf>
    <xf numFmtId="0" fontId="0" fillId="0" borderId="26" xfId="0" applyBorder="1" applyAlignment="1" applyProtection="1">
      <alignment vertical="center"/>
      <protection locked="0"/>
    </xf>
    <xf numFmtId="0" fontId="0" fillId="0" borderId="48" xfId="0" applyBorder="1" applyAlignment="1" applyProtection="1">
      <alignment vertical="center"/>
      <protection locked="0"/>
    </xf>
    <xf numFmtId="0" fontId="0" fillId="0" borderId="31" xfId="0" applyBorder="1" applyAlignment="1" applyProtection="1">
      <alignment vertical="center"/>
      <protection locked="0"/>
    </xf>
    <xf numFmtId="0" fontId="0" fillId="0" borderId="24" xfId="0" applyBorder="1" applyAlignment="1" applyProtection="1">
      <alignment vertical="center"/>
      <protection locked="0"/>
    </xf>
    <xf numFmtId="0" fontId="0" fillId="0" borderId="60" xfId="0" applyBorder="1" applyAlignment="1" applyProtection="1">
      <alignment vertical="center"/>
      <protection locked="0"/>
    </xf>
    <xf numFmtId="0" fontId="0" fillId="0" borderId="0" xfId="0" applyBorder="1" applyAlignment="1">
      <alignment vertical="center" wrapText="1"/>
    </xf>
    <xf numFmtId="0" fontId="9" fillId="0" borderId="13" xfId="0" applyFont="1" applyBorder="1" applyAlignment="1">
      <alignment vertical="center"/>
    </xf>
    <xf numFmtId="0" fontId="9" fillId="0" borderId="26" xfId="0" applyFont="1" applyBorder="1" applyAlignment="1">
      <alignment vertical="center"/>
    </xf>
    <xf numFmtId="0" fontId="9" fillId="0" borderId="31" xfId="0" applyFont="1" applyBorder="1" applyAlignment="1">
      <alignment vertical="center"/>
    </xf>
    <xf numFmtId="186" fontId="0" fillId="0" borderId="60" xfId="33" applyNumberFormat="1" applyFont="1" applyBorder="1" applyAlignment="1" applyProtection="1">
      <alignment vertical="center"/>
      <protection locked="0"/>
    </xf>
    <xf numFmtId="38" fontId="0" fillId="0" borderId="34" xfId="33" applyNumberFormat="1" applyFont="1" applyBorder="1" applyAlignment="1" applyProtection="1">
      <alignment vertical="center"/>
      <protection locked="0"/>
    </xf>
    <xf numFmtId="181" fontId="1" fillId="0" borderId="38" xfId="0" applyNumberFormat="1" applyFont="1" applyBorder="1" applyAlignment="1">
      <alignment horizontal="right" vertical="center"/>
    </xf>
    <xf numFmtId="181" fontId="3" fillId="0" borderId="0" xfId="0" applyNumberFormat="1" applyFont="1" applyBorder="1" applyAlignment="1" applyProtection="1">
      <alignment vertical="center"/>
      <protection hidden="1"/>
    </xf>
    <xf numFmtId="181" fontId="0" fillId="0" borderId="61" xfId="0" applyNumberFormat="1" applyBorder="1" applyAlignment="1" applyProtection="1">
      <alignment horizontal="right" vertical="center"/>
      <protection hidden="1"/>
    </xf>
    <xf numFmtId="181" fontId="0" fillId="25" borderId="13" xfId="0" applyNumberFormat="1" applyFill="1" applyBorder="1" applyAlignment="1" applyProtection="1">
      <alignment vertical="center"/>
      <protection hidden="1"/>
    </xf>
    <xf numFmtId="181" fontId="0" fillId="25" borderId="55" xfId="0" applyNumberFormat="1" applyFill="1" applyBorder="1" applyAlignment="1" applyProtection="1">
      <alignment vertical="center"/>
      <protection hidden="1"/>
    </xf>
    <xf numFmtId="181" fontId="0" fillId="25" borderId="15" xfId="0" applyNumberFormat="1" applyFill="1" applyBorder="1" applyAlignment="1" applyProtection="1">
      <alignment vertical="center"/>
      <protection hidden="1"/>
    </xf>
    <xf numFmtId="181" fontId="0" fillId="25" borderId="26" xfId="0" applyNumberFormat="1" applyFill="1" applyBorder="1" applyAlignment="1" applyProtection="1">
      <alignment vertical="center"/>
      <protection hidden="1"/>
    </xf>
    <xf numFmtId="181" fontId="0" fillId="25" borderId="63" xfId="0" applyNumberFormat="1" applyFill="1" applyBorder="1" applyAlignment="1" applyProtection="1">
      <alignment vertical="center"/>
      <protection hidden="1"/>
    </xf>
    <xf numFmtId="181" fontId="0" fillId="25" borderId="74" xfId="0" applyNumberFormat="1" applyFill="1" applyBorder="1" applyAlignment="1" applyProtection="1">
      <alignment vertical="center"/>
      <protection hidden="1"/>
    </xf>
    <xf numFmtId="181" fontId="0" fillId="25" borderId="31" xfId="0" applyNumberFormat="1" applyFill="1" applyBorder="1" applyAlignment="1" applyProtection="1">
      <alignment vertical="center"/>
      <protection hidden="1"/>
    </xf>
    <xf numFmtId="181" fontId="0" fillId="25" borderId="64" xfId="0" applyNumberFormat="1" applyFill="1" applyBorder="1" applyAlignment="1" applyProtection="1">
      <alignment vertical="center"/>
      <protection hidden="1"/>
    </xf>
    <xf numFmtId="181" fontId="0" fillId="25" borderId="75" xfId="0" applyNumberFormat="1" applyFill="1" applyBorder="1" applyAlignment="1" applyProtection="1">
      <alignment vertical="center"/>
      <protection hidden="1"/>
    </xf>
    <xf numFmtId="186" fontId="0" fillId="0" borderId="65" xfId="33" applyNumberFormat="1" applyFont="1" applyFill="1" applyBorder="1" applyAlignment="1" applyProtection="1">
      <alignment vertical="center"/>
      <protection hidden="1"/>
    </xf>
    <xf numFmtId="186" fontId="0" fillId="0" borderId="60" xfId="33" applyNumberFormat="1" applyFont="1" applyFill="1" applyBorder="1" applyAlignment="1" applyProtection="1">
      <alignment vertical="center"/>
      <protection hidden="1"/>
    </xf>
    <xf numFmtId="186" fontId="0" fillId="0" borderId="60" xfId="33" applyNumberFormat="1" applyFont="1" applyBorder="1" applyAlignment="1" applyProtection="1">
      <alignment vertical="center"/>
      <protection hidden="1"/>
    </xf>
    <xf numFmtId="186" fontId="0" fillId="0" borderId="47" xfId="33" applyNumberFormat="1" applyFont="1" applyFill="1" applyBorder="1" applyAlignment="1" applyProtection="1">
      <alignment vertical="center"/>
      <protection hidden="1"/>
    </xf>
    <xf numFmtId="186" fontId="0" fillId="0" borderId="33" xfId="33" applyNumberFormat="1" applyFont="1" applyBorder="1" applyAlignment="1" applyProtection="1">
      <alignment vertical="center"/>
      <protection hidden="1"/>
    </xf>
    <xf numFmtId="0" fontId="0" fillId="0" borderId="0" xfId="0" applyBorder="1" applyAlignment="1" applyProtection="1">
      <alignment vertical="center"/>
      <protection locked="0"/>
    </xf>
    <xf numFmtId="179" fontId="8" fillId="0" borderId="55" xfId="0" applyNumberFormat="1" applyFont="1" applyFill="1" applyBorder="1" applyAlignment="1">
      <alignment horizontal="center" vertical="center"/>
    </xf>
    <xf numFmtId="0" fontId="3" fillId="0" borderId="64" xfId="0" applyFont="1" applyBorder="1" applyAlignment="1">
      <alignment horizontal="center" vertical="center"/>
    </xf>
    <xf numFmtId="0" fontId="9" fillId="0" borderId="55" xfId="0" applyFont="1" applyBorder="1" applyAlignment="1">
      <alignment vertical="center"/>
    </xf>
    <xf numFmtId="0" fontId="9" fillId="0" borderId="63" xfId="0" applyFont="1" applyBorder="1" applyAlignment="1">
      <alignment vertical="center"/>
    </xf>
    <xf numFmtId="0" fontId="9" fillId="0" borderId="64" xfId="0" applyFont="1" applyBorder="1" applyAlignment="1">
      <alignment vertical="center"/>
    </xf>
    <xf numFmtId="0" fontId="0" fillId="0" borderId="55" xfId="0" applyBorder="1" applyAlignment="1" applyProtection="1">
      <alignment vertical="center"/>
      <protection locked="0"/>
    </xf>
    <xf numFmtId="0" fontId="0" fillId="0" borderId="63" xfId="0" applyBorder="1" applyAlignment="1" applyProtection="1">
      <alignment vertical="center"/>
      <protection locked="0"/>
    </xf>
    <xf numFmtId="0" fontId="0" fillId="0" borderId="66" xfId="0" applyBorder="1" applyAlignment="1" applyProtection="1">
      <alignment vertical="center"/>
      <protection locked="0"/>
    </xf>
    <xf numFmtId="0" fontId="0" fillId="0" borderId="64" xfId="0" applyBorder="1" applyAlignment="1" applyProtection="1">
      <alignment vertical="center"/>
      <protection locked="0"/>
    </xf>
    <xf numFmtId="0" fontId="0" fillId="0" borderId="65" xfId="0" applyBorder="1" applyAlignment="1" applyProtection="1">
      <alignment vertical="center"/>
      <protection locked="0"/>
    </xf>
    <xf numFmtId="0" fontId="9" fillId="0" borderId="16" xfId="0" applyFont="1" applyBorder="1" applyAlignment="1">
      <alignment vertical="center"/>
    </xf>
    <xf numFmtId="0" fontId="9" fillId="0" borderId="42" xfId="0" applyFont="1" applyBorder="1" applyAlignment="1">
      <alignment vertical="center"/>
    </xf>
    <xf numFmtId="0" fontId="9" fillId="0" borderId="19" xfId="0" applyFont="1" applyBorder="1" applyAlignment="1">
      <alignment vertical="center"/>
    </xf>
    <xf numFmtId="0" fontId="0" fillId="0" borderId="16" xfId="0" applyBorder="1" applyAlignment="1" applyProtection="1">
      <alignment vertical="center"/>
      <protection locked="0"/>
    </xf>
    <xf numFmtId="0" fontId="0" fillId="0" borderId="42" xfId="0" applyBorder="1" applyAlignment="1" applyProtection="1">
      <alignment vertical="center"/>
      <protection locked="0"/>
    </xf>
    <xf numFmtId="0" fontId="0" fillId="0" borderId="46" xfId="0" applyBorder="1" applyAlignment="1" applyProtection="1">
      <alignment vertical="center"/>
      <protection locked="0"/>
    </xf>
    <xf numFmtId="0" fontId="0" fillId="0" borderId="19" xfId="0" applyBorder="1" applyAlignment="1" applyProtection="1">
      <alignment vertical="center"/>
      <protection locked="0"/>
    </xf>
    <xf numFmtId="0" fontId="0" fillId="0" borderId="43" xfId="0" applyBorder="1" applyAlignment="1" applyProtection="1">
      <alignment vertical="center"/>
      <protection locked="0"/>
    </xf>
    <xf numFmtId="0" fontId="0" fillId="0" borderId="76" xfId="0" applyBorder="1" applyAlignment="1" applyProtection="1">
      <alignment vertical="center"/>
      <protection locked="0"/>
    </xf>
    <xf numFmtId="0" fontId="0" fillId="0" borderId="42" xfId="0" applyFill="1" applyBorder="1" applyAlignment="1" applyProtection="1">
      <alignment vertical="center"/>
      <protection locked="0"/>
    </xf>
    <xf numFmtId="38" fontId="0" fillId="0" borderId="0" xfId="33" applyNumberFormat="1" applyFont="1" applyBorder="1" applyAlignment="1" applyProtection="1">
      <alignment vertical="center"/>
      <protection locked="0"/>
    </xf>
    <xf numFmtId="0" fontId="3" fillId="0" borderId="0" xfId="0" applyFont="1" applyBorder="1" applyAlignment="1">
      <alignment horizontal="center" vertical="center"/>
    </xf>
    <xf numFmtId="179" fontId="8" fillId="0" borderId="0" xfId="0" applyNumberFormat="1" applyFont="1" applyFill="1" applyBorder="1" applyAlignment="1">
      <alignment horizontal="center" vertical="center"/>
    </xf>
    <xf numFmtId="0" fontId="0" fillId="0" borderId="28" xfId="0" applyFill="1" applyBorder="1" applyAlignment="1" applyProtection="1">
      <alignment vertical="center"/>
      <protection locked="0"/>
    </xf>
    <xf numFmtId="38" fontId="0" fillId="0" borderId="60" xfId="33" applyNumberFormat="1" applyFont="1" applyBorder="1" applyAlignment="1" applyProtection="1">
      <alignment vertical="center"/>
      <protection locked="0"/>
    </xf>
    <xf numFmtId="0" fontId="0" fillId="0" borderId="53" xfId="0" applyBorder="1" applyAlignment="1" applyProtection="1">
      <alignment vertical="center"/>
      <protection hidden="1"/>
    </xf>
    <xf numFmtId="0" fontId="0" fillId="0" borderId="79" xfId="0" applyBorder="1" applyAlignment="1" applyProtection="1">
      <alignment vertical="center"/>
      <protection hidden="1"/>
    </xf>
    <xf numFmtId="184" fontId="1" fillId="0" borderId="80" xfId="0" applyNumberFormat="1" applyFont="1" applyFill="1" applyBorder="1" applyAlignment="1" applyProtection="1">
      <alignment vertical="center"/>
      <protection hidden="1"/>
    </xf>
    <xf numFmtId="184" fontId="1" fillId="0" borderId="81" xfId="0" applyNumberFormat="1" applyFont="1" applyFill="1" applyBorder="1" applyAlignment="1" applyProtection="1">
      <alignment vertical="center"/>
      <protection hidden="1"/>
    </xf>
    <xf numFmtId="184" fontId="1" fillId="0" borderId="62" xfId="0" applyNumberFormat="1" applyFont="1" applyFill="1" applyBorder="1" applyAlignment="1" applyProtection="1">
      <alignment vertical="center"/>
      <protection hidden="1"/>
    </xf>
    <xf numFmtId="0" fontId="31" fillId="0" borderId="0" xfId="0" applyFont="1" applyBorder="1" applyAlignment="1">
      <alignment vertical="center" wrapText="1"/>
    </xf>
    <xf numFmtId="189" fontId="0" fillId="0" borderId="60" xfId="0" applyNumberFormat="1" applyFont="1" applyBorder="1" applyAlignment="1">
      <alignment horizontal="right" vertical="center"/>
    </xf>
    <xf numFmtId="189" fontId="0" fillId="0" borderId="26" xfId="0" applyNumberFormat="1" applyFont="1" applyBorder="1" applyAlignment="1">
      <alignment horizontal="right" vertical="center"/>
    </xf>
    <xf numFmtId="0" fontId="0" fillId="0" borderId="26" xfId="0" applyNumberFormat="1" applyFont="1" applyBorder="1" applyAlignment="1">
      <alignment horizontal="right" vertical="center"/>
    </xf>
    <xf numFmtId="0" fontId="0" fillId="0" borderId="60" xfId="0" applyNumberFormat="1" applyFont="1" applyBorder="1" applyAlignment="1">
      <alignment horizontal="right" vertical="center"/>
    </xf>
    <xf numFmtId="0" fontId="7" fillId="0" borderId="0" xfId="0" applyFont="1" applyAlignment="1">
      <alignment horizontal="left" vertical="center"/>
    </xf>
    <xf numFmtId="0" fontId="3" fillId="0" borderId="0" xfId="0" applyFont="1" applyBorder="1" applyAlignment="1">
      <alignment horizontal="center" vertical="center"/>
    </xf>
    <xf numFmtId="0" fontId="0" fillId="0" borderId="0" xfId="0" applyBorder="1" applyAlignment="1">
      <alignment vertical="center" wrapText="1" shrinkToFit="1"/>
    </xf>
    <xf numFmtId="0" fontId="0" fillId="0" borderId="0" xfId="0" applyAlignment="1">
      <alignment vertical="center" wrapText="1"/>
    </xf>
    <xf numFmtId="0" fontId="0" fillId="0" borderId="63" xfId="0" applyFill="1" applyBorder="1" applyAlignment="1" applyProtection="1">
      <alignment vertical="center"/>
      <protection locked="0"/>
    </xf>
    <xf numFmtId="184" fontId="1" fillId="0" borderId="21" xfId="0" applyNumberFormat="1" applyFont="1" applyFill="1" applyBorder="1" applyAlignment="1" applyProtection="1">
      <alignment vertical="center"/>
      <protection hidden="1"/>
    </xf>
    <xf numFmtId="184" fontId="1" fillId="0" borderId="23" xfId="0" applyNumberFormat="1" applyFont="1" applyFill="1" applyBorder="1" applyAlignment="1" applyProtection="1">
      <alignment vertical="center"/>
      <protection hidden="1"/>
    </xf>
    <xf numFmtId="184" fontId="1" fillId="0" borderId="30" xfId="0" applyNumberFormat="1" applyFont="1" applyFill="1" applyBorder="1" applyAlignment="1" applyProtection="1">
      <alignment vertical="center"/>
      <protection hidden="1"/>
    </xf>
    <xf numFmtId="189" fontId="0" fillId="0" borderId="0" xfId="0" applyNumberFormat="1" applyFont="1" applyBorder="1" applyAlignment="1">
      <alignment horizontal="right" vertical="center"/>
    </xf>
    <xf numFmtId="0" fontId="0" fillId="0" borderId="0" xfId="0" applyNumberFormat="1" applyFont="1" applyBorder="1" applyAlignment="1">
      <alignment horizontal="right" vertical="center"/>
    </xf>
    <xf numFmtId="189" fontId="0" fillId="0" borderId="42" xfId="0" applyNumberFormat="1" applyFont="1" applyBorder="1" applyAlignment="1">
      <alignment horizontal="right" vertical="center"/>
    </xf>
    <xf numFmtId="0" fontId="0" fillId="0" borderId="42" xfId="0" applyNumberFormat="1" applyFont="1" applyBorder="1" applyAlignment="1">
      <alignment horizontal="right" vertical="center"/>
    </xf>
    <xf numFmtId="0" fontId="0" fillId="0" borderId="46" xfId="0" applyNumberFormat="1" applyFont="1" applyBorder="1" applyAlignment="1">
      <alignment horizontal="right" vertical="center"/>
    </xf>
    <xf numFmtId="189" fontId="0" fillId="0" borderId="43" xfId="0" applyNumberFormat="1" applyFont="1" applyBorder="1" applyAlignment="1">
      <alignment horizontal="right" vertical="center"/>
    </xf>
    <xf numFmtId="177" fontId="0" fillId="0" borderId="13" xfId="0" applyNumberFormat="1" applyBorder="1" applyAlignment="1" applyProtection="1">
      <alignment vertical="center"/>
      <protection locked="0"/>
    </xf>
    <xf numFmtId="177" fontId="0" fillId="0" borderId="26" xfId="0" applyNumberFormat="1" applyBorder="1" applyAlignment="1" applyProtection="1">
      <alignment vertical="center"/>
      <protection locked="0"/>
    </xf>
    <xf numFmtId="177" fontId="0" fillId="0" borderId="48" xfId="0" applyNumberFormat="1" applyBorder="1" applyAlignment="1" applyProtection="1">
      <alignment vertical="center"/>
      <protection locked="0"/>
    </xf>
    <xf numFmtId="177" fontId="0" fillId="0" borderId="31" xfId="0" applyNumberFormat="1" applyBorder="1" applyAlignment="1" applyProtection="1">
      <alignment vertical="center"/>
      <protection locked="0"/>
    </xf>
    <xf numFmtId="0" fontId="0" fillId="0" borderId="16" xfId="0" applyNumberFormat="1" applyBorder="1" applyAlignment="1" applyProtection="1">
      <alignment vertical="center"/>
      <protection locked="0"/>
    </xf>
    <xf numFmtId="0" fontId="0" fillId="0" borderId="42" xfId="0" applyNumberFormat="1" applyBorder="1" applyAlignment="1" applyProtection="1">
      <alignment vertical="center"/>
      <protection locked="0"/>
    </xf>
    <xf numFmtId="0" fontId="0" fillId="0" borderId="46" xfId="0" applyNumberFormat="1" applyBorder="1" applyAlignment="1" applyProtection="1">
      <alignment vertical="center"/>
      <protection locked="0"/>
    </xf>
    <xf numFmtId="0" fontId="0" fillId="0" borderId="46" xfId="33" applyNumberFormat="1" applyFont="1" applyBorder="1" applyAlignment="1" applyProtection="1">
      <alignment vertical="center"/>
      <protection locked="0"/>
    </xf>
    <xf numFmtId="179" fontId="8" fillId="29" borderId="22" xfId="0" applyNumberFormat="1" applyFont="1" applyFill="1" applyBorder="1" applyAlignment="1">
      <alignment horizontal="center" vertical="center"/>
    </xf>
    <xf numFmtId="179" fontId="8" fillId="29" borderId="16" xfId="0" applyNumberFormat="1" applyFont="1" applyFill="1" applyBorder="1" applyAlignment="1">
      <alignment horizontal="center" vertical="center"/>
    </xf>
    <xf numFmtId="0" fontId="3" fillId="29" borderId="19" xfId="0" applyFont="1" applyFill="1" applyBorder="1" applyAlignment="1">
      <alignment horizontal="center" vertical="center"/>
    </xf>
    <xf numFmtId="179" fontId="8" fillId="29" borderId="13" xfId="0" applyNumberFormat="1" applyFont="1" applyFill="1" applyBorder="1" applyAlignment="1">
      <alignment horizontal="center" vertical="center"/>
    </xf>
    <xf numFmtId="179" fontId="8" fillId="29" borderId="55" xfId="0" applyNumberFormat="1" applyFont="1" applyFill="1" applyBorder="1" applyAlignment="1">
      <alignment horizontal="center" vertical="center"/>
    </xf>
    <xf numFmtId="0" fontId="29" fillId="0" borderId="0" xfId="0" applyFont="1" applyAlignment="1">
      <alignment vertical="center" wrapText="1"/>
    </xf>
    <xf numFmtId="0" fontId="33" fillId="0" borderId="0" xfId="0" applyFont="1" applyAlignment="1">
      <alignment vertical="center" wrapText="1"/>
    </xf>
    <xf numFmtId="0" fontId="34" fillId="0" borderId="0" xfId="0" applyFont="1" applyFill="1" applyAlignment="1">
      <alignment vertical="center"/>
    </xf>
    <xf numFmtId="0" fontId="0" fillId="0" borderId="12" xfId="0" applyFont="1" applyBorder="1" applyAlignment="1">
      <alignment horizontal="center" vertical="center"/>
    </xf>
    <xf numFmtId="179" fontId="39" fillId="0" borderId="22" xfId="0" applyNumberFormat="1" applyFont="1" applyFill="1" applyBorder="1" applyAlignment="1">
      <alignment horizontal="center" vertical="center"/>
    </xf>
    <xf numFmtId="179" fontId="39" fillId="29" borderId="22" xfId="0" applyNumberFormat="1" applyFont="1" applyFill="1" applyBorder="1" applyAlignment="1">
      <alignment horizontal="center" vertical="center"/>
    </xf>
    <xf numFmtId="179" fontId="39" fillId="29" borderId="13" xfId="0" applyNumberFormat="1" applyFont="1" applyFill="1" applyBorder="1" applyAlignment="1">
      <alignment horizontal="center" vertical="center"/>
    </xf>
    <xf numFmtId="179" fontId="39" fillId="29" borderId="16" xfId="0" applyNumberFormat="1" applyFont="1" applyFill="1" applyBorder="1" applyAlignment="1">
      <alignment horizontal="center" vertical="center"/>
    </xf>
    <xf numFmtId="0" fontId="0" fillId="0" borderId="18" xfId="0" applyFont="1" applyBorder="1" applyAlignment="1">
      <alignment horizontal="center" vertical="center"/>
    </xf>
    <xf numFmtId="0" fontId="0" fillId="0" borderId="31" xfId="0" applyFont="1" applyBorder="1" applyAlignment="1">
      <alignment horizontal="center" vertical="center"/>
    </xf>
    <xf numFmtId="0" fontId="0" fillId="0" borderId="19" xfId="0" applyFont="1" applyFill="1" applyBorder="1" applyAlignment="1">
      <alignment horizontal="center" vertical="center"/>
    </xf>
    <xf numFmtId="179" fontId="39" fillId="29" borderId="55" xfId="0" applyNumberFormat="1" applyFont="1" applyFill="1" applyBorder="1" applyAlignment="1">
      <alignment horizontal="center" vertical="center"/>
    </xf>
    <xf numFmtId="0" fontId="0" fillId="0" borderId="64" xfId="0" applyFont="1" applyBorder="1" applyAlignment="1">
      <alignment horizontal="center" vertical="center"/>
    </xf>
    <xf numFmtId="0" fontId="0" fillId="0" borderId="46" xfId="0" applyFont="1" applyFill="1" applyBorder="1" applyAlignment="1">
      <alignment horizontal="center" vertical="center"/>
    </xf>
    <xf numFmtId="0" fontId="29" fillId="0" borderId="0" xfId="0" applyFont="1" applyFill="1" applyBorder="1" applyAlignment="1">
      <alignment vertical="center" wrapText="1"/>
    </xf>
    <xf numFmtId="0" fontId="0" fillId="0" borderId="0" xfId="0" applyFill="1"/>
    <xf numFmtId="0" fontId="7" fillId="0" borderId="0" xfId="0" applyFont="1" applyAlignment="1">
      <alignment horizontal="left" vertical="center"/>
    </xf>
    <xf numFmtId="0" fontId="0" fillId="0" borderId="0" xfId="0" applyFont="1" applyAlignment="1">
      <alignment vertical="center"/>
    </xf>
    <xf numFmtId="0" fontId="0" fillId="0" borderId="0" xfId="0" applyFont="1"/>
    <xf numFmtId="0" fontId="0" fillId="0" borderId="0" xfId="0" applyNumberFormat="1" applyFont="1" applyAlignment="1">
      <alignment vertical="center"/>
    </xf>
    <xf numFmtId="0" fontId="0" fillId="0" borderId="11" xfId="0" applyFont="1" applyBorder="1" applyAlignment="1">
      <alignment vertical="center"/>
    </xf>
    <xf numFmtId="0" fontId="0" fillId="0" borderId="0" xfId="0" applyFont="1" applyBorder="1" applyAlignment="1">
      <alignment vertical="center"/>
    </xf>
    <xf numFmtId="0" fontId="0" fillId="0" borderId="12" xfId="0" applyFont="1" applyBorder="1" applyAlignment="1">
      <alignment vertical="center"/>
    </xf>
    <xf numFmtId="0" fontId="0" fillId="0" borderId="49" xfId="0" applyFont="1" applyBorder="1" applyAlignment="1">
      <alignment vertical="center"/>
    </xf>
    <xf numFmtId="0" fontId="41" fillId="0" borderId="56" xfId="0" applyFont="1" applyFill="1" applyBorder="1" applyAlignment="1">
      <alignment horizontal="center" vertical="center"/>
    </xf>
    <xf numFmtId="0" fontId="0" fillId="0" borderId="45" xfId="0" applyNumberFormat="1" applyFont="1" applyBorder="1" applyAlignment="1">
      <alignment vertical="center"/>
    </xf>
    <xf numFmtId="0" fontId="41" fillId="0" borderId="57" xfId="0" applyFont="1" applyBorder="1" applyAlignment="1">
      <alignment horizontal="center" vertical="center"/>
    </xf>
    <xf numFmtId="0" fontId="42" fillId="0" borderId="59" xfId="0" applyFont="1" applyBorder="1" applyAlignment="1">
      <alignment vertical="center"/>
    </xf>
    <xf numFmtId="0" fontId="42" fillId="0" borderId="0" xfId="0" applyFont="1" applyFill="1" applyBorder="1" applyAlignment="1">
      <alignment horizontal="center" vertical="center"/>
    </xf>
    <xf numFmtId="0" fontId="0" fillId="0" borderId="37" xfId="0" applyFont="1" applyBorder="1" applyAlignment="1">
      <alignment vertical="center"/>
    </xf>
    <xf numFmtId="179" fontId="0" fillId="24" borderId="67" xfId="0" applyNumberFormat="1" applyFont="1" applyFill="1" applyBorder="1" applyAlignment="1" applyProtection="1">
      <alignment horizontal="center" vertical="center"/>
      <protection locked="0"/>
    </xf>
    <xf numFmtId="0" fontId="0" fillId="0" borderId="34" xfId="0" applyNumberFormat="1" applyFont="1" applyBorder="1" applyAlignment="1">
      <alignment vertical="center"/>
    </xf>
    <xf numFmtId="0" fontId="0" fillId="0" borderId="34" xfId="0" applyNumberFormat="1" applyFont="1" applyBorder="1" applyAlignment="1">
      <alignment horizontal="center" vertical="center"/>
    </xf>
    <xf numFmtId="179" fontId="0" fillId="24" borderId="13" xfId="0" applyNumberFormat="1" applyFont="1" applyFill="1" applyBorder="1" applyAlignment="1" applyProtection="1">
      <alignment horizontal="center" vertical="center"/>
      <protection locked="0"/>
    </xf>
    <xf numFmtId="0" fontId="42" fillId="0" borderId="24" xfId="0" applyFont="1" applyFill="1" applyBorder="1" applyAlignment="1">
      <alignment horizontal="center" vertical="center"/>
    </xf>
    <xf numFmtId="179" fontId="0" fillId="24" borderId="43" xfId="0" applyNumberFormat="1" applyFont="1" applyFill="1" applyBorder="1" applyAlignment="1" applyProtection="1">
      <alignment horizontal="center" vertical="center"/>
      <protection locked="0"/>
    </xf>
    <xf numFmtId="182" fontId="0" fillId="0" borderId="61" xfId="0" applyNumberFormat="1" applyFont="1" applyBorder="1" applyAlignment="1">
      <alignment horizontal="left"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179" fontId="39" fillId="0" borderId="0" xfId="0" applyNumberFormat="1" applyFont="1" applyFill="1" applyBorder="1" applyAlignment="1">
      <alignment horizontal="center" vertical="center"/>
    </xf>
    <xf numFmtId="0" fontId="0" fillId="0" borderId="10" xfId="0" applyFont="1" applyBorder="1" applyAlignment="1">
      <alignment vertical="center"/>
    </xf>
    <xf numFmtId="181" fontId="0" fillId="0" borderId="68" xfId="0" applyNumberFormat="1" applyFont="1" applyFill="1" applyBorder="1" applyAlignment="1" applyProtection="1">
      <alignment horizontal="center" vertical="center"/>
      <protection hidden="1"/>
    </xf>
    <xf numFmtId="0" fontId="0" fillId="0" borderId="44" xfId="0" applyNumberFormat="1" applyFont="1" applyBorder="1" applyAlignment="1">
      <alignment vertical="center"/>
    </xf>
    <xf numFmtId="0" fontId="0" fillId="0" borderId="62" xfId="0" applyFont="1" applyBorder="1" applyAlignment="1">
      <alignment horizontal="right" vertical="center"/>
    </xf>
    <xf numFmtId="0" fontId="0" fillId="0" borderId="0" xfId="0" applyFont="1" applyBorder="1" applyAlignment="1" applyProtection="1">
      <alignment vertical="center"/>
      <protection hidden="1"/>
    </xf>
    <xf numFmtId="0" fontId="0" fillId="0" borderId="41" xfId="0" applyFont="1" applyBorder="1" applyAlignment="1">
      <alignment vertical="center"/>
    </xf>
    <xf numFmtId="0" fontId="0" fillId="0" borderId="25" xfId="0" applyFont="1" applyBorder="1" applyAlignment="1">
      <alignment horizontal="center" vertical="center"/>
    </xf>
    <xf numFmtId="0" fontId="0" fillId="0" borderId="13" xfId="0" applyFont="1" applyBorder="1" applyAlignment="1">
      <alignment horizontal="center" vertical="center"/>
    </xf>
    <xf numFmtId="184" fontId="0" fillId="0" borderId="80" xfId="0" applyNumberFormat="1" applyFont="1" applyFill="1" applyBorder="1" applyAlignment="1" applyProtection="1">
      <alignment vertical="center"/>
      <protection hidden="1"/>
    </xf>
    <xf numFmtId="0" fontId="0" fillId="0" borderId="82" xfId="0" applyNumberFormat="1" applyFont="1" applyBorder="1" applyAlignment="1">
      <alignment vertical="center"/>
    </xf>
    <xf numFmtId="0" fontId="0" fillId="0" borderId="49" xfId="0" applyFont="1" applyBorder="1" applyAlignment="1">
      <alignment horizontal="center" vertical="center"/>
    </xf>
    <xf numFmtId="0" fontId="0" fillId="0" borderId="71" xfId="0" applyNumberFormat="1" applyFont="1" applyBorder="1" applyAlignment="1">
      <alignment vertical="center"/>
    </xf>
    <xf numFmtId="182" fontId="0" fillId="0" borderId="71" xfId="0" applyNumberFormat="1" applyFont="1" applyBorder="1" applyAlignment="1" applyProtection="1">
      <alignment horizontal="center" vertical="center"/>
      <protection hidden="1"/>
    </xf>
    <xf numFmtId="0" fontId="0" fillId="0" borderId="49" xfId="0" applyFont="1" applyBorder="1" applyAlignment="1" applyProtection="1">
      <alignment vertical="center"/>
      <protection hidden="1"/>
    </xf>
    <xf numFmtId="0" fontId="0" fillId="0" borderId="36" xfId="0" applyFont="1" applyBorder="1" applyAlignment="1" applyProtection="1">
      <alignment vertical="center"/>
      <protection hidden="1"/>
    </xf>
    <xf numFmtId="0" fontId="0" fillId="0" borderId="61" xfId="0" applyFont="1" applyBorder="1" applyAlignment="1">
      <alignment horizontal="right" vertical="center"/>
    </xf>
    <xf numFmtId="0" fontId="0" fillId="0" borderId="16" xfId="0" applyFont="1" applyBorder="1" applyAlignment="1">
      <alignment horizontal="center" vertical="center"/>
    </xf>
    <xf numFmtId="0" fontId="0" fillId="0" borderId="53" xfId="0" applyFont="1" applyBorder="1" applyAlignment="1">
      <alignment horizontal="center" vertical="center"/>
    </xf>
    <xf numFmtId="0" fontId="0" fillId="0" borderId="34" xfId="0" applyFont="1" applyBorder="1" applyAlignment="1">
      <alignment horizontal="center" vertical="center"/>
    </xf>
    <xf numFmtId="0" fontId="0" fillId="0" borderId="60" xfId="0" applyFont="1" applyBorder="1" applyAlignment="1">
      <alignment horizontal="center" vertical="center"/>
    </xf>
    <xf numFmtId="0" fontId="0" fillId="0" borderId="26" xfId="0" applyFont="1" applyBorder="1" applyAlignment="1">
      <alignment horizontal="center" vertical="center"/>
    </xf>
    <xf numFmtId="184" fontId="0" fillId="0" borderId="81" xfId="0" applyNumberFormat="1" applyFont="1" applyFill="1" applyBorder="1" applyAlignment="1" applyProtection="1">
      <alignment vertical="center"/>
      <protection hidden="1"/>
    </xf>
    <xf numFmtId="0" fontId="0" fillId="0" borderId="53" xfId="0" applyNumberFormat="1" applyFont="1" applyBorder="1" applyAlignment="1">
      <alignment vertical="center"/>
    </xf>
    <xf numFmtId="0" fontId="0" fillId="0" borderId="63" xfId="0" applyFont="1" applyBorder="1" applyAlignment="1">
      <alignment horizontal="center" vertical="center"/>
    </xf>
    <xf numFmtId="0" fontId="0" fillId="0" borderId="60" xfId="0" applyNumberFormat="1" applyFont="1" applyBorder="1" applyAlignment="1">
      <alignment vertical="center"/>
    </xf>
    <xf numFmtId="182" fontId="0" fillId="0" borderId="26" xfId="0" applyNumberFormat="1" applyFont="1" applyBorder="1" applyAlignment="1" applyProtection="1">
      <alignment horizontal="center" vertical="center"/>
      <protection hidden="1"/>
    </xf>
    <xf numFmtId="0" fontId="0" fillId="0" borderId="63" xfId="0" applyFont="1" applyBorder="1" applyAlignment="1" applyProtection="1">
      <alignment vertical="center"/>
      <protection hidden="1"/>
    </xf>
    <xf numFmtId="0" fontId="0" fillId="0" borderId="74" xfId="0" applyFont="1" applyBorder="1" applyAlignment="1" applyProtection="1">
      <alignment vertical="center"/>
      <protection hidden="1"/>
    </xf>
    <xf numFmtId="0" fontId="0" fillId="0" borderId="42" xfId="0" applyFont="1" applyBorder="1" applyAlignment="1">
      <alignment horizontal="center" vertical="center"/>
    </xf>
    <xf numFmtId="0" fontId="0" fillId="0" borderId="28" xfId="0" applyFont="1" applyBorder="1" applyAlignment="1">
      <alignment horizontal="center" vertical="center"/>
    </xf>
    <xf numFmtId="182" fontId="0" fillId="0" borderId="60" xfId="0" applyNumberFormat="1" applyFont="1" applyBorder="1" applyAlignment="1" applyProtection="1">
      <alignment horizontal="center" vertical="center"/>
      <protection hidden="1"/>
    </xf>
    <xf numFmtId="0" fontId="0" fillId="0" borderId="38" xfId="0" applyFont="1" applyBorder="1" applyAlignment="1" applyProtection="1">
      <alignment vertical="center"/>
      <protection hidden="1"/>
    </xf>
    <xf numFmtId="0" fontId="0" fillId="0" borderId="37" xfId="0" applyFont="1" applyBorder="1" applyAlignment="1">
      <alignment horizontal="center" vertical="center"/>
    </xf>
    <xf numFmtId="0" fontId="0" fillId="0" borderId="29" xfId="0" applyFont="1" applyBorder="1" applyAlignment="1">
      <alignment horizontal="center" vertical="center"/>
    </xf>
    <xf numFmtId="0" fontId="0" fillId="0" borderId="30" xfId="0" applyFont="1" applyBorder="1" applyAlignment="1">
      <alignment horizontal="center" vertical="center"/>
    </xf>
    <xf numFmtId="184" fontId="0" fillId="0" borderId="62" xfId="0" applyNumberFormat="1" applyFont="1" applyFill="1" applyBorder="1" applyAlignment="1" applyProtection="1">
      <alignment vertical="center"/>
      <protection hidden="1"/>
    </xf>
    <xf numFmtId="0" fontId="0" fillId="0" borderId="79" xfId="0" applyNumberFormat="1" applyFont="1" applyBorder="1" applyAlignment="1">
      <alignment vertical="center"/>
    </xf>
    <xf numFmtId="0" fontId="0" fillId="0" borderId="11" xfId="0" applyFont="1" applyBorder="1" applyAlignment="1">
      <alignment horizontal="center" vertical="center"/>
    </xf>
    <xf numFmtId="0" fontId="0" fillId="0" borderId="33" xfId="0" applyNumberFormat="1" applyFont="1" applyBorder="1" applyAlignment="1">
      <alignment vertical="center"/>
    </xf>
    <xf numFmtId="182" fontId="0" fillId="0" borderId="33" xfId="0" applyNumberFormat="1" applyFont="1" applyBorder="1" applyAlignment="1" applyProtection="1">
      <alignment horizontal="center" vertical="center"/>
      <protection hidden="1"/>
    </xf>
    <xf numFmtId="0" fontId="0" fillId="0" borderId="11" xfId="0" applyFont="1" applyBorder="1" applyAlignment="1" applyProtection="1">
      <alignment vertical="center"/>
      <protection hidden="1"/>
    </xf>
    <xf numFmtId="0" fontId="0" fillId="0" borderId="39" xfId="0" applyFont="1" applyBorder="1" applyAlignment="1" applyProtection="1">
      <alignment vertical="center"/>
      <protection hidden="1"/>
    </xf>
    <xf numFmtId="0" fontId="0" fillId="0" borderId="19" xfId="0" applyFont="1" applyBorder="1" applyAlignment="1">
      <alignment horizontal="center" vertical="center"/>
    </xf>
    <xf numFmtId="0" fontId="0" fillId="0" borderId="24" xfId="0" applyFont="1" applyBorder="1" applyAlignment="1">
      <alignment horizontal="center" vertical="center"/>
    </xf>
    <xf numFmtId="184" fontId="0" fillId="0" borderId="67" xfId="0" applyNumberFormat="1" applyFont="1" applyFill="1" applyBorder="1" applyAlignment="1" applyProtection="1">
      <alignment vertical="center"/>
      <protection hidden="1"/>
    </xf>
    <xf numFmtId="0" fontId="0" fillId="0" borderId="34" xfId="0" applyNumberFormat="1" applyFont="1" applyBorder="1" applyAlignment="1" applyProtection="1">
      <alignment vertical="center"/>
      <protection hidden="1"/>
    </xf>
    <xf numFmtId="181" fontId="0" fillId="0" borderId="65" xfId="0" applyNumberFormat="1" applyFont="1" applyFill="1" applyBorder="1" applyAlignment="1" applyProtection="1">
      <alignment vertical="center"/>
      <protection hidden="1"/>
    </xf>
    <xf numFmtId="0" fontId="0" fillId="0" borderId="60" xfId="0" applyNumberFormat="1" applyFont="1" applyFill="1" applyBorder="1" applyAlignment="1" applyProtection="1">
      <alignment vertical="center"/>
      <protection hidden="1"/>
    </xf>
    <xf numFmtId="181" fontId="0" fillId="25" borderId="24" xfId="0" applyNumberFormat="1" applyFont="1" applyFill="1" applyBorder="1" applyAlignment="1" applyProtection="1">
      <alignment vertical="center"/>
      <protection hidden="1"/>
    </xf>
    <xf numFmtId="181" fontId="0" fillId="25" borderId="65" xfId="0" applyNumberFormat="1" applyFont="1" applyFill="1" applyBorder="1" applyAlignment="1" applyProtection="1">
      <alignment vertical="center"/>
      <protection hidden="1"/>
    </xf>
    <xf numFmtId="181" fontId="0" fillId="25" borderId="78" xfId="0" applyNumberFormat="1" applyFont="1" applyFill="1" applyBorder="1" applyAlignment="1" applyProtection="1">
      <alignment vertical="center"/>
      <protection hidden="1"/>
    </xf>
    <xf numFmtId="181" fontId="0" fillId="0" borderId="61" xfId="0" applyNumberFormat="1" applyFont="1" applyBorder="1" applyAlignment="1" applyProtection="1">
      <alignment horizontal="right" vertical="center"/>
      <protection hidden="1"/>
    </xf>
    <xf numFmtId="181" fontId="0" fillId="0" borderId="0" xfId="0" applyNumberFormat="1" applyFont="1" applyFill="1" applyBorder="1" applyAlignment="1" applyProtection="1">
      <alignment vertical="center"/>
      <protection hidden="1"/>
    </xf>
    <xf numFmtId="0" fontId="0" fillId="0" borderId="22" xfId="0" applyFont="1" applyBorder="1" applyAlignment="1" applyProtection="1">
      <alignment vertical="center"/>
    </xf>
    <xf numFmtId="0" fontId="0" fillId="0" borderId="22" xfId="0" applyFont="1" applyBorder="1" applyAlignment="1" applyProtection="1">
      <alignment vertical="center"/>
      <protection locked="0"/>
    </xf>
    <xf numFmtId="0" fontId="0" fillId="0" borderId="13" xfId="0" applyFont="1" applyBorder="1" applyAlignment="1" applyProtection="1">
      <alignment vertical="center"/>
      <protection locked="0"/>
    </xf>
    <xf numFmtId="0" fontId="0" fillId="0" borderId="55" xfId="0" applyFont="1" applyBorder="1" applyAlignment="1" applyProtection="1">
      <alignment vertical="center"/>
      <protection locked="0"/>
    </xf>
    <xf numFmtId="0" fontId="0" fillId="0" borderId="16" xfId="0" applyFont="1" applyBorder="1" applyAlignment="1" applyProtection="1">
      <alignment vertical="center"/>
      <protection locked="0"/>
    </xf>
    <xf numFmtId="0" fontId="0" fillId="0" borderId="0" xfId="0" applyFont="1" applyBorder="1" applyAlignment="1" applyProtection="1">
      <alignment vertical="center"/>
      <protection locked="0"/>
    </xf>
    <xf numFmtId="0" fontId="0" fillId="0" borderId="60" xfId="0" applyNumberFormat="1" applyFont="1" applyBorder="1" applyAlignment="1" applyProtection="1">
      <alignment vertical="center"/>
      <protection hidden="1"/>
    </xf>
    <xf numFmtId="181" fontId="0" fillId="25" borderId="26" xfId="0" applyNumberFormat="1" applyFont="1" applyFill="1" applyBorder="1" applyAlignment="1" applyProtection="1">
      <alignment vertical="center"/>
      <protection hidden="1"/>
    </xf>
    <xf numFmtId="181" fontId="0" fillId="25" borderId="63" xfId="0" applyNumberFormat="1" applyFont="1" applyFill="1" applyBorder="1" applyAlignment="1" applyProtection="1">
      <alignment vertical="center"/>
      <protection hidden="1"/>
    </xf>
    <xf numFmtId="181" fontId="0" fillId="25" borderId="74" xfId="0" applyNumberFormat="1" applyFont="1" applyFill="1" applyBorder="1" applyAlignment="1" applyProtection="1">
      <alignment vertical="center"/>
      <protection hidden="1"/>
    </xf>
    <xf numFmtId="177" fontId="0" fillId="0" borderId="61" xfId="0" applyNumberFormat="1" applyFont="1" applyBorder="1" applyAlignment="1" applyProtection="1">
      <alignment horizontal="right" vertical="center"/>
      <protection hidden="1"/>
    </xf>
    <xf numFmtId="177" fontId="0" fillId="0" borderId="0" xfId="0" applyNumberFormat="1" applyFont="1" applyBorder="1" applyAlignment="1" applyProtection="1">
      <alignment vertical="center"/>
      <protection hidden="1"/>
    </xf>
    <xf numFmtId="0" fontId="0" fillId="0" borderId="28" xfId="0" applyFont="1" applyBorder="1" applyAlignment="1" applyProtection="1">
      <alignment vertical="center"/>
    </xf>
    <xf numFmtId="0" fontId="0" fillId="0" borderId="28" xfId="0" applyFont="1" applyBorder="1" applyAlignment="1" applyProtection="1">
      <alignment vertical="center"/>
      <protection locked="0"/>
    </xf>
    <xf numFmtId="0" fontId="0" fillId="0" borderId="26" xfId="0" applyFont="1" applyBorder="1" applyAlignment="1" applyProtection="1">
      <alignment vertical="center"/>
      <protection locked="0"/>
    </xf>
    <xf numFmtId="0" fontId="0" fillId="0" borderId="63" xfId="0" applyFont="1" applyBorder="1" applyAlignment="1" applyProtection="1">
      <alignment vertical="center"/>
      <protection locked="0"/>
    </xf>
    <xf numFmtId="0" fontId="0" fillId="0" borderId="42" xfId="0" applyFont="1" applyBorder="1" applyAlignment="1" applyProtection="1">
      <alignment vertical="center"/>
      <protection locked="0"/>
    </xf>
    <xf numFmtId="0" fontId="0" fillId="0" borderId="29" xfId="0" applyFont="1" applyBorder="1" applyAlignment="1" applyProtection="1">
      <alignment vertical="center"/>
      <protection locked="0"/>
    </xf>
    <xf numFmtId="0" fontId="0" fillId="0" borderId="48" xfId="0" applyFont="1" applyBorder="1" applyAlignment="1" applyProtection="1">
      <alignment vertical="center"/>
      <protection locked="0"/>
    </xf>
    <xf numFmtId="0" fontId="0" fillId="0" borderId="66" xfId="0" applyFont="1" applyBorder="1" applyAlignment="1" applyProtection="1">
      <alignment vertical="center"/>
      <protection locked="0"/>
    </xf>
    <xf numFmtId="184" fontId="0" fillId="0" borderId="68" xfId="0" applyNumberFormat="1" applyFont="1" applyFill="1" applyBorder="1" applyAlignment="1" applyProtection="1">
      <alignment vertical="center"/>
      <protection hidden="1"/>
    </xf>
    <xf numFmtId="0" fontId="0" fillId="0" borderId="44" xfId="0" applyNumberFormat="1" applyFont="1" applyBorder="1" applyAlignment="1" applyProtection="1">
      <alignment vertical="center"/>
      <protection hidden="1"/>
    </xf>
    <xf numFmtId="181" fontId="0" fillId="0" borderId="47" xfId="0" applyNumberFormat="1" applyFont="1" applyFill="1" applyBorder="1" applyAlignment="1" applyProtection="1">
      <alignment vertical="center"/>
      <protection hidden="1"/>
    </xf>
    <xf numFmtId="0" fontId="0" fillId="0" borderId="33" xfId="0" applyNumberFormat="1" applyFont="1" applyBorder="1" applyAlignment="1" applyProtection="1">
      <alignment vertical="center"/>
      <protection hidden="1"/>
    </xf>
    <xf numFmtId="181" fontId="0" fillId="25" borderId="31" xfId="0" applyNumberFormat="1" applyFont="1" applyFill="1" applyBorder="1" applyAlignment="1" applyProtection="1">
      <alignment vertical="center"/>
      <protection hidden="1"/>
    </xf>
    <xf numFmtId="181" fontId="0" fillId="25" borderId="64" xfId="0" applyNumberFormat="1" applyFont="1" applyFill="1" applyBorder="1" applyAlignment="1" applyProtection="1">
      <alignment vertical="center"/>
      <protection hidden="1"/>
    </xf>
    <xf numFmtId="181" fontId="0" fillId="25" borderId="75" xfId="0" applyNumberFormat="1" applyFont="1" applyFill="1" applyBorder="1" applyAlignment="1" applyProtection="1">
      <alignment vertical="center"/>
      <protection hidden="1"/>
    </xf>
    <xf numFmtId="177" fontId="0" fillId="0" borderId="62" xfId="0" applyNumberFormat="1" applyFont="1" applyBorder="1" applyAlignment="1" applyProtection="1">
      <alignment horizontal="right" vertical="center"/>
      <protection hidden="1"/>
    </xf>
    <xf numFmtId="0" fontId="0" fillId="0" borderId="10" xfId="0" applyFont="1" applyBorder="1" applyAlignment="1">
      <alignment horizontal="center" vertical="center"/>
    </xf>
    <xf numFmtId="0" fontId="0" fillId="0" borderId="18" xfId="0" applyFont="1" applyBorder="1" applyAlignment="1" applyProtection="1">
      <alignment vertical="center"/>
    </xf>
    <xf numFmtId="0" fontId="0" fillId="0" borderId="18" xfId="0" applyFont="1" applyBorder="1" applyAlignment="1" applyProtection="1">
      <alignment vertical="center"/>
      <protection locked="0"/>
    </xf>
    <xf numFmtId="0" fontId="0" fillId="0" borderId="31" xfId="0" applyFont="1" applyBorder="1" applyAlignment="1" applyProtection="1">
      <alignment vertical="center"/>
      <protection locked="0"/>
    </xf>
    <xf numFmtId="0" fontId="0" fillId="0" borderId="64" xfId="0" applyFont="1" applyBorder="1" applyAlignment="1" applyProtection="1">
      <alignment vertical="center"/>
      <protection locked="0"/>
    </xf>
    <xf numFmtId="0" fontId="0" fillId="0" borderId="46" xfId="0" applyFont="1" applyBorder="1" applyAlignment="1" applyProtection="1">
      <alignment vertical="center"/>
      <protection locked="0"/>
    </xf>
    <xf numFmtId="0" fontId="0" fillId="0" borderId="20" xfId="0" applyFont="1" applyBorder="1" applyAlignment="1">
      <alignment horizontal="center" vertical="center"/>
    </xf>
    <xf numFmtId="181" fontId="0" fillId="25" borderId="13" xfId="0" applyNumberFormat="1" applyFont="1" applyFill="1" applyBorder="1" applyAlignment="1" applyProtection="1">
      <alignment vertical="center"/>
      <protection hidden="1"/>
    </xf>
    <xf numFmtId="181" fontId="0" fillId="25" borderId="55" xfId="0" applyNumberFormat="1" applyFont="1" applyFill="1" applyBorder="1" applyAlignment="1" applyProtection="1">
      <alignment vertical="center"/>
      <protection hidden="1"/>
    </xf>
    <xf numFmtId="181" fontId="0" fillId="25" borderId="15" xfId="0" applyNumberFormat="1" applyFont="1" applyFill="1" applyBorder="1" applyAlignment="1" applyProtection="1">
      <alignment vertical="center"/>
      <protection hidden="1"/>
    </xf>
    <xf numFmtId="0" fontId="0" fillId="0" borderId="43" xfId="0" applyFont="1" applyBorder="1" applyAlignment="1">
      <alignment horizontal="center" vertical="center"/>
    </xf>
    <xf numFmtId="0" fontId="0" fillId="0" borderId="32" xfId="0" applyFont="1" applyBorder="1" applyAlignment="1" applyProtection="1">
      <alignment vertical="center"/>
    </xf>
    <xf numFmtId="0" fontId="0" fillId="0" borderId="32" xfId="0" applyFont="1" applyBorder="1" applyAlignment="1" applyProtection="1">
      <alignment vertical="center"/>
      <protection locked="0"/>
    </xf>
    <xf numFmtId="0" fontId="0" fillId="0" borderId="24" xfId="0" applyFont="1" applyBorder="1" applyAlignment="1" applyProtection="1">
      <alignment vertical="center"/>
      <protection locked="0"/>
    </xf>
    <xf numFmtId="0" fontId="0" fillId="0" borderId="65" xfId="0" applyFont="1" applyBorder="1" applyAlignment="1" applyProtection="1">
      <alignment vertical="center"/>
      <protection locked="0"/>
    </xf>
    <xf numFmtId="0" fontId="0" fillId="0" borderId="33" xfId="0" applyFont="1" applyBorder="1" applyAlignment="1">
      <alignment horizontal="center" vertical="center"/>
    </xf>
    <xf numFmtId="0" fontId="0" fillId="0" borderId="41" xfId="0" applyFont="1" applyBorder="1" applyAlignment="1">
      <alignment horizontal="center" vertical="center"/>
    </xf>
    <xf numFmtId="0" fontId="0" fillId="0" borderId="29" xfId="0" applyFont="1" applyBorder="1" applyAlignment="1" applyProtection="1">
      <alignment vertical="center"/>
    </xf>
    <xf numFmtId="0" fontId="0" fillId="0" borderId="34" xfId="0" applyFont="1" applyBorder="1" applyAlignment="1" applyProtection="1">
      <alignment vertical="center"/>
    </xf>
    <xf numFmtId="0" fontId="0" fillId="0" borderId="34" xfId="0" applyFont="1" applyBorder="1" applyAlignment="1" applyProtection="1">
      <alignment vertical="center"/>
      <protection locked="0"/>
    </xf>
    <xf numFmtId="0" fontId="0" fillId="0" borderId="60" xfId="0" applyFont="1" applyBorder="1" applyAlignment="1" applyProtection="1">
      <alignment vertical="center"/>
      <protection locked="0"/>
    </xf>
    <xf numFmtId="1" fontId="0" fillId="0" borderId="34" xfId="0" applyNumberFormat="1" applyFont="1" applyBorder="1" applyAlignment="1" applyProtection="1">
      <alignment vertical="center"/>
      <protection locked="0"/>
    </xf>
    <xf numFmtId="0" fontId="0" fillId="0" borderId="60" xfId="0" applyNumberFormat="1" applyFont="1" applyBorder="1" applyAlignment="1" applyProtection="1">
      <alignment vertical="center"/>
      <protection locked="0"/>
    </xf>
    <xf numFmtId="0" fontId="0" fillId="0" borderId="46" xfId="0" applyNumberFormat="1" applyFont="1" applyBorder="1" applyAlignment="1" applyProtection="1">
      <alignment vertical="center"/>
      <protection locked="0"/>
    </xf>
    <xf numFmtId="1" fontId="0" fillId="0" borderId="0" xfId="0" applyNumberFormat="1" applyFont="1" applyBorder="1" applyAlignment="1" applyProtection="1">
      <alignment vertical="center"/>
      <protection locked="0"/>
    </xf>
    <xf numFmtId="0" fontId="0" fillId="0" borderId="13" xfId="0" applyNumberFormat="1" applyFont="1" applyBorder="1" applyAlignment="1" applyProtection="1">
      <alignment vertical="center"/>
      <protection locked="0"/>
    </xf>
    <xf numFmtId="0" fontId="0" fillId="0" borderId="16" xfId="0" applyNumberFormat="1" applyFont="1" applyBorder="1" applyAlignment="1" applyProtection="1">
      <alignment vertical="center"/>
      <protection locked="0"/>
    </xf>
    <xf numFmtId="0" fontId="0" fillId="0" borderId="26" xfId="0" applyNumberFormat="1" applyFont="1" applyBorder="1" applyAlignment="1" applyProtection="1">
      <alignment vertical="center"/>
      <protection locked="0"/>
    </xf>
    <xf numFmtId="0" fontId="0" fillId="0" borderId="42" xfId="0" applyNumberFormat="1" applyFont="1" applyBorder="1" applyAlignment="1" applyProtection="1">
      <alignment vertical="center"/>
      <protection locked="0"/>
    </xf>
    <xf numFmtId="0" fontId="0" fillId="0" borderId="31" xfId="0" applyNumberFormat="1" applyFont="1" applyBorder="1" applyAlignment="1" applyProtection="1">
      <alignment vertical="center"/>
      <protection locked="0"/>
    </xf>
    <xf numFmtId="0" fontId="0" fillId="0" borderId="24" xfId="0" applyNumberFormat="1" applyFont="1" applyBorder="1" applyAlignment="1" applyProtection="1">
      <alignment vertical="center"/>
      <protection locked="0"/>
    </xf>
    <xf numFmtId="0" fontId="0" fillId="0" borderId="48" xfId="0" applyNumberFormat="1" applyFont="1" applyBorder="1" applyAlignment="1" applyProtection="1">
      <alignment vertical="center"/>
      <protection locked="0"/>
    </xf>
    <xf numFmtId="0" fontId="0" fillId="0" borderId="19" xfId="0" applyFont="1" applyBorder="1" applyAlignment="1" applyProtection="1">
      <alignment vertical="center"/>
      <protection locked="0"/>
    </xf>
    <xf numFmtId="0" fontId="0" fillId="0" borderId="43" xfId="0" applyFont="1" applyBorder="1" applyAlignment="1" applyProtection="1">
      <alignment vertical="center"/>
      <protection locked="0"/>
    </xf>
    <xf numFmtId="0" fontId="0" fillId="0" borderId="0" xfId="0" applyFont="1" applyBorder="1"/>
    <xf numFmtId="177" fontId="0" fillId="0" borderId="0" xfId="0" applyNumberFormat="1" applyFont="1" applyBorder="1"/>
    <xf numFmtId="0" fontId="0" fillId="0" borderId="55" xfId="0" applyFont="1" applyBorder="1" applyAlignment="1">
      <alignment vertical="center"/>
    </xf>
    <xf numFmtId="0" fontId="0" fillId="0" borderId="46" xfId="0" applyFont="1" applyBorder="1" applyAlignment="1">
      <alignment horizontal="center" vertical="center"/>
    </xf>
    <xf numFmtId="0" fontId="0" fillId="0" borderId="14" xfId="0" applyFont="1" applyBorder="1" applyAlignment="1">
      <alignment vertical="center"/>
    </xf>
    <xf numFmtId="0" fontId="0" fillId="0" borderId="21" xfId="0" applyFont="1" applyBorder="1" applyAlignment="1">
      <alignment horizontal="center" vertical="center"/>
    </xf>
    <xf numFmtId="0" fontId="0" fillId="0" borderId="22" xfId="0" applyFont="1" applyBorder="1" applyAlignment="1">
      <alignment horizontal="center" vertical="center"/>
    </xf>
    <xf numFmtId="181" fontId="0" fillId="31" borderId="27" xfId="0" applyNumberFormat="1" applyFont="1" applyFill="1" applyBorder="1" applyAlignment="1" applyProtection="1">
      <alignment vertical="center"/>
    </xf>
    <xf numFmtId="181" fontId="0" fillId="31" borderId="28" xfId="0" applyNumberFormat="1" applyFont="1" applyFill="1" applyBorder="1" applyAlignment="1" applyProtection="1">
      <alignment vertical="center"/>
    </xf>
    <xf numFmtId="181" fontId="0" fillId="31" borderId="42" xfId="0" applyNumberFormat="1" applyFont="1" applyFill="1" applyBorder="1" applyAlignment="1" applyProtection="1">
      <alignment vertical="center"/>
    </xf>
    <xf numFmtId="0" fontId="0" fillId="0" borderId="27" xfId="0" applyFont="1" applyBorder="1" applyAlignment="1">
      <alignment horizontal="center" vertical="center"/>
    </xf>
    <xf numFmtId="183" fontId="0" fillId="31" borderId="21" xfId="0" applyNumberFormat="1" applyFont="1" applyFill="1" applyBorder="1" applyAlignment="1" applyProtection="1">
      <alignment vertical="center"/>
    </xf>
    <xf numFmtId="183" fontId="0" fillId="31" borderId="22" xfId="0" applyNumberFormat="1" applyFont="1" applyFill="1" applyBorder="1" applyAlignment="1" applyProtection="1">
      <alignment vertical="center"/>
    </xf>
    <xf numFmtId="183" fontId="0" fillId="31" borderId="27" xfId="0" applyNumberFormat="1" applyFont="1" applyFill="1" applyBorder="1" applyAlignment="1" applyProtection="1">
      <alignment vertical="center"/>
    </xf>
    <xf numFmtId="183" fontId="0" fillId="31" borderId="28" xfId="0" applyNumberFormat="1" applyFont="1" applyFill="1" applyBorder="1" applyAlignment="1" applyProtection="1">
      <alignment vertical="center"/>
    </xf>
    <xf numFmtId="0" fontId="0" fillId="0" borderId="0" xfId="0" applyFont="1" applyProtection="1">
      <protection locked="0"/>
    </xf>
    <xf numFmtId="181" fontId="0" fillId="31" borderId="27" xfId="0" applyNumberFormat="1" applyFont="1" applyFill="1" applyBorder="1" applyAlignment="1" applyProtection="1">
      <alignment vertical="center"/>
      <protection locked="0"/>
    </xf>
    <xf numFmtId="181" fontId="0" fillId="31" borderId="28" xfId="0" applyNumberFormat="1" applyFont="1" applyFill="1" applyBorder="1" applyAlignment="1" applyProtection="1">
      <alignment vertical="center"/>
      <protection locked="0"/>
    </xf>
    <xf numFmtId="183" fontId="0" fillId="31" borderId="27" xfId="0" applyNumberFormat="1" applyFont="1" applyFill="1" applyBorder="1" applyAlignment="1" applyProtection="1">
      <alignment vertical="center"/>
      <protection locked="0"/>
    </xf>
    <xf numFmtId="183" fontId="0" fillId="31" borderId="28" xfId="0" applyNumberFormat="1" applyFont="1" applyFill="1" applyBorder="1" applyAlignment="1" applyProtection="1">
      <alignment vertical="center"/>
      <protection locked="0"/>
    </xf>
    <xf numFmtId="181" fontId="0" fillId="31" borderId="35" xfId="0" applyNumberFormat="1" applyFont="1" applyFill="1" applyBorder="1" applyAlignment="1" applyProtection="1">
      <alignment vertical="center"/>
      <protection locked="0"/>
    </xf>
    <xf numFmtId="181" fontId="0" fillId="31" borderId="29" xfId="0" applyNumberFormat="1" applyFont="1" applyFill="1" applyBorder="1" applyAlignment="1" applyProtection="1">
      <alignment vertical="center"/>
      <protection locked="0"/>
    </xf>
    <xf numFmtId="183" fontId="0" fillId="31" borderId="35" xfId="0" applyNumberFormat="1" applyFont="1" applyFill="1" applyBorder="1" applyAlignment="1" applyProtection="1">
      <alignment vertical="center"/>
      <protection locked="0"/>
    </xf>
    <xf numFmtId="183" fontId="0" fillId="31" borderId="29" xfId="0" applyNumberFormat="1" applyFont="1" applyFill="1" applyBorder="1" applyAlignment="1" applyProtection="1">
      <alignment vertical="center"/>
      <protection locked="0"/>
    </xf>
    <xf numFmtId="183" fontId="0" fillId="31" borderId="51" xfId="0" applyNumberFormat="1" applyFont="1" applyFill="1" applyBorder="1" applyAlignment="1" applyProtection="1">
      <alignment vertical="center"/>
      <protection locked="0"/>
    </xf>
    <xf numFmtId="183" fontId="0" fillId="31" borderId="28" xfId="0" applyNumberFormat="1" applyFont="1" applyFill="1" applyBorder="1" applyAlignment="1" applyProtection="1">
      <alignment horizontal="center" vertical="center"/>
      <protection locked="0"/>
    </xf>
    <xf numFmtId="186" fontId="1" fillId="31" borderId="28" xfId="33" applyNumberFormat="1" applyFont="1" applyFill="1" applyBorder="1" applyAlignment="1" applyProtection="1">
      <alignment vertical="center"/>
      <protection locked="0"/>
    </xf>
    <xf numFmtId="183" fontId="0" fillId="31" borderId="47" xfId="0" applyNumberFormat="1" applyFont="1" applyFill="1" applyBorder="1" applyAlignment="1" applyProtection="1">
      <alignment vertical="center"/>
      <protection locked="0"/>
    </xf>
    <xf numFmtId="183" fontId="0" fillId="31" borderId="18" xfId="0" applyNumberFormat="1" applyFont="1" applyFill="1" applyBorder="1" applyAlignment="1" applyProtection="1">
      <alignment vertical="center"/>
      <protection locked="0"/>
    </xf>
    <xf numFmtId="0" fontId="0" fillId="0" borderId="27"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7" xfId="0" applyFont="1" applyFill="1" applyBorder="1" applyAlignment="1">
      <alignment horizontal="center" vertical="center"/>
    </xf>
    <xf numFmtId="0" fontId="43" fillId="0" borderId="0" xfId="0" applyFont="1" applyAlignment="1">
      <alignment vertical="center"/>
    </xf>
    <xf numFmtId="0" fontId="43" fillId="0" borderId="12" xfId="0" applyFont="1" applyBorder="1" applyAlignment="1">
      <alignment vertical="center"/>
    </xf>
    <xf numFmtId="0" fontId="43" fillId="0" borderId="37" xfId="0" applyFont="1" applyBorder="1" applyAlignment="1">
      <alignment vertical="center"/>
    </xf>
    <xf numFmtId="0" fontId="43" fillId="0" borderId="10" xfId="0" applyFont="1" applyBorder="1" applyAlignment="1">
      <alignment vertical="center"/>
    </xf>
    <xf numFmtId="0" fontId="43" fillId="0" borderId="20" xfId="0" applyFont="1" applyBorder="1" applyAlignment="1">
      <alignment horizontal="center" vertical="center"/>
    </xf>
    <xf numFmtId="0" fontId="43" fillId="0" borderId="25" xfId="0" applyFont="1" applyBorder="1" applyAlignment="1">
      <alignment horizontal="center" vertical="center"/>
    </xf>
    <xf numFmtId="0" fontId="43" fillId="0" borderId="25" xfId="0" applyFont="1" applyBorder="1" applyAlignment="1">
      <alignment vertical="center"/>
    </xf>
    <xf numFmtId="0" fontId="43" fillId="0" borderId="30" xfId="0" applyFont="1" applyBorder="1" applyAlignment="1">
      <alignment vertical="center"/>
    </xf>
    <xf numFmtId="0" fontId="43" fillId="0" borderId="0" xfId="0" applyFont="1" applyBorder="1" applyAlignment="1">
      <alignment horizontal="center" vertical="center"/>
    </xf>
    <xf numFmtId="0" fontId="43" fillId="0" borderId="0" xfId="0" applyFont="1"/>
    <xf numFmtId="0" fontId="43" fillId="0" borderId="0" xfId="0" applyFont="1" applyAlignment="1" applyProtection="1">
      <alignment vertical="center"/>
      <protection hidden="1"/>
    </xf>
    <xf numFmtId="0" fontId="47" fillId="0" borderId="0" xfId="0" applyFont="1" applyAlignment="1">
      <alignment horizontal="left" vertical="center"/>
    </xf>
    <xf numFmtId="180" fontId="47" fillId="0" borderId="0" xfId="0" applyNumberFormat="1" applyFont="1" applyAlignment="1" applyProtection="1">
      <alignment horizontal="left" vertical="center"/>
      <protection hidden="1"/>
    </xf>
    <xf numFmtId="0" fontId="43" fillId="0" borderId="0" xfId="0" applyNumberFormat="1" applyFont="1" applyAlignment="1">
      <alignment vertical="center"/>
    </xf>
    <xf numFmtId="0" fontId="48" fillId="0" borderId="0" xfId="0" applyFont="1" applyAlignment="1">
      <alignment vertical="center"/>
    </xf>
    <xf numFmtId="0" fontId="43" fillId="0" borderId="11" xfId="0" applyFont="1" applyBorder="1" applyAlignment="1">
      <alignment vertical="center"/>
    </xf>
    <xf numFmtId="0" fontId="43" fillId="0" borderId="0" xfId="0" applyFont="1" applyBorder="1" applyAlignment="1">
      <alignment vertical="center"/>
    </xf>
    <xf numFmtId="0" fontId="43" fillId="0" borderId="49" xfId="0" applyFont="1" applyBorder="1" applyAlignment="1">
      <alignment vertical="center"/>
    </xf>
    <xf numFmtId="0" fontId="49" fillId="0" borderId="56" xfId="0" applyFont="1" applyFill="1" applyBorder="1" applyAlignment="1">
      <alignment horizontal="center" vertical="center"/>
    </xf>
    <xf numFmtId="0" fontId="43" fillId="0" borderId="45" xfId="0" applyNumberFormat="1" applyFont="1" applyBorder="1" applyAlignment="1">
      <alignment vertical="center"/>
    </xf>
    <xf numFmtId="0" fontId="50" fillId="0" borderId="58" xfId="0" applyFont="1" applyBorder="1" applyAlignment="1">
      <alignment vertical="center"/>
    </xf>
    <xf numFmtId="0" fontId="50" fillId="0" borderId="0" xfId="0" applyFont="1" applyFill="1" applyBorder="1" applyAlignment="1">
      <alignment horizontal="center" vertical="center"/>
    </xf>
    <xf numFmtId="0" fontId="43" fillId="0" borderId="0" xfId="0" applyFont="1" applyBorder="1" applyAlignment="1">
      <alignment vertical="center" wrapText="1"/>
    </xf>
    <xf numFmtId="0" fontId="43" fillId="0" borderId="0" xfId="0" applyFont="1" applyBorder="1"/>
    <xf numFmtId="179" fontId="43" fillId="24" borderId="67" xfId="0" applyNumberFormat="1" applyFont="1" applyFill="1" applyBorder="1" applyAlignment="1" applyProtection="1">
      <alignment horizontal="center" vertical="center"/>
      <protection locked="0"/>
    </xf>
    <xf numFmtId="0" fontId="43" fillId="0" borderId="34" xfId="0" applyFont="1" applyBorder="1" applyAlignment="1">
      <alignment vertical="center"/>
    </xf>
    <xf numFmtId="0" fontId="43" fillId="0" borderId="34" xfId="0" applyNumberFormat="1" applyFont="1" applyBorder="1" applyAlignment="1">
      <alignment horizontal="center" vertical="center"/>
    </xf>
    <xf numFmtId="179" fontId="43" fillId="24" borderId="13" xfId="0" applyNumberFormat="1" applyFont="1" applyFill="1" applyBorder="1" applyAlignment="1" applyProtection="1">
      <alignment horizontal="center" vertical="center"/>
      <protection locked="0"/>
    </xf>
    <xf numFmtId="0" fontId="50" fillId="0" borderId="24" xfId="0" applyFont="1" applyFill="1" applyBorder="1" applyAlignment="1">
      <alignment horizontal="center" vertical="center"/>
    </xf>
    <xf numFmtId="179" fontId="43" fillId="24" borderId="43" xfId="0" applyNumberFormat="1" applyFont="1" applyFill="1" applyBorder="1" applyAlignment="1" applyProtection="1">
      <alignment horizontal="center" vertical="center"/>
      <protection locked="0"/>
    </xf>
    <xf numFmtId="182" fontId="43" fillId="0" borderId="38" xfId="0" applyNumberFormat="1" applyFont="1" applyBorder="1" applyAlignment="1">
      <alignment horizontal="left" vertical="center"/>
    </xf>
    <xf numFmtId="0" fontId="43" fillId="0" borderId="12" xfId="0" applyFont="1" applyBorder="1" applyAlignment="1">
      <alignment horizontal="center" vertical="center"/>
    </xf>
    <xf numFmtId="0" fontId="43" fillId="0" borderId="40" xfId="0" applyFont="1" applyBorder="1" applyAlignment="1">
      <alignment horizontal="center" vertical="center"/>
    </xf>
    <xf numFmtId="179" fontId="34" fillId="0" borderId="21" xfId="0" applyNumberFormat="1" applyFont="1" applyFill="1" applyBorder="1" applyAlignment="1">
      <alignment horizontal="center" vertical="center"/>
    </xf>
    <xf numFmtId="179" fontId="34" fillId="0" borderId="22" xfId="0" applyNumberFormat="1" applyFont="1" applyFill="1" applyBorder="1" applyAlignment="1">
      <alignment horizontal="center" vertical="center"/>
    </xf>
    <xf numFmtId="179" fontId="34" fillId="29" borderId="22" xfId="0" applyNumberFormat="1" applyFont="1" applyFill="1" applyBorder="1" applyAlignment="1">
      <alignment horizontal="center" vertical="center"/>
    </xf>
    <xf numFmtId="179" fontId="34" fillId="29" borderId="13" xfId="0" applyNumberFormat="1" applyFont="1" applyFill="1" applyBorder="1" applyAlignment="1">
      <alignment horizontal="center" vertical="center"/>
    </xf>
    <xf numFmtId="179" fontId="34" fillId="29" borderId="55" xfId="0" applyNumberFormat="1" applyFont="1" applyFill="1" applyBorder="1" applyAlignment="1">
      <alignment horizontal="center" vertical="center"/>
    </xf>
    <xf numFmtId="181" fontId="43" fillId="0" borderId="68" xfId="0" applyNumberFormat="1" applyFont="1" applyFill="1" applyBorder="1" applyAlignment="1" applyProtection="1">
      <alignment horizontal="center" vertical="center"/>
      <protection hidden="1"/>
    </xf>
    <xf numFmtId="0" fontId="43" fillId="0" borderId="44" xfId="0" applyNumberFormat="1" applyFont="1" applyBorder="1" applyAlignment="1">
      <alignment vertical="center"/>
    </xf>
    <xf numFmtId="0" fontId="43" fillId="0" borderId="39" xfId="0" applyFont="1" applyBorder="1" applyAlignment="1">
      <alignment horizontal="right" vertical="center"/>
    </xf>
    <xf numFmtId="0" fontId="43" fillId="0" borderId="0" xfId="0" applyFont="1" applyBorder="1" applyAlignment="1" applyProtection="1">
      <alignment vertical="center"/>
      <protection hidden="1"/>
    </xf>
    <xf numFmtId="0" fontId="43" fillId="0" borderId="41" xfId="0" applyFont="1" applyBorder="1" applyAlignment="1">
      <alignment vertical="center"/>
    </xf>
    <xf numFmtId="0" fontId="43" fillId="0" borderId="17" xfId="0" applyFont="1" applyBorder="1" applyAlignment="1">
      <alignment horizontal="center" vertical="center"/>
    </xf>
    <xf numFmtId="0" fontId="43" fillId="0" borderId="18" xfId="0" applyFont="1" applyBorder="1" applyAlignment="1">
      <alignment horizontal="center" vertical="center"/>
    </xf>
    <xf numFmtId="0" fontId="43" fillId="0" borderId="31" xfId="0" applyFont="1" applyBorder="1" applyAlignment="1">
      <alignment horizontal="center" vertical="center"/>
    </xf>
    <xf numFmtId="0" fontId="43" fillId="0" borderId="64" xfId="0" applyFont="1" applyBorder="1" applyAlignment="1">
      <alignment horizontal="center" vertical="center"/>
    </xf>
    <xf numFmtId="0" fontId="43" fillId="0" borderId="24" xfId="0" applyFont="1" applyBorder="1" applyAlignment="1">
      <alignment horizontal="center" vertical="center"/>
    </xf>
    <xf numFmtId="0" fontId="43" fillId="0" borderId="60" xfId="0" applyNumberFormat="1" applyFont="1" applyFill="1" applyBorder="1" applyAlignment="1" applyProtection="1">
      <alignment vertical="center"/>
      <protection hidden="1"/>
    </xf>
    <xf numFmtId="181" fontId="43" fillId="25" borderId="13" xfId="0" applyNumberFormat="1" applyFont="1" applyFill="1" applyBorder="1" applyAlignment="1" applyProtection="1">
      <alignment vertical="center"/>
      <protection hidden="1"/>
    </xf>
    <xf numFmtId="181" fontId="43" fillId="25" borderId="55" xfId="0" applyNumberFormat="1" applyFont="1" applyFill="1" applyBorder="1" applyAlignment="1" applyProtection="1">
      <alignment vertical="center"/>
      <protection hidden="1"/>
    </xf>
    <xf numFmtId="181" fontId="43" fillId="25" borderId="15" xfId="0" applyNumberFormat="1" applyFont="1" applyFill="1" applyBorder="1" applyAlignment="1" applyProtection="1">
      <alignment vertical="center"/>
      <protection hidden="1"/>
    </xf>
    <xf numFmtId="0" fontId="43" fillId="0" borderId="38" xfId="0" applyFont="1" applyBorder="1" applyAlignment="1">
      <alignment horizontal="right" vertical="center"/>
    </xf>
    <xf numFmtId="0" fontId="43" fillId="0" borderId="21" xfId="0" applyFont="1" applyBorder="1" applyAlignment="1">
      <alignment vertical="center"/>
    </xf>
    <xf numFmtId="0" fontId="43" fillId="0" borderId="22" xfId="0" applyFont="1" applyBorder="1" applyAlignment="1">
      <alignment vertical="center"/>
    </xf>
    <xf numFmtId="0" fontId="43" fillId="0" borderId="13" xfId="0" applyFont="1" applyBorder="1" applyAlignment="1">
      <alignment vertical="center"/>
    </xf>
    <xf numFmtId="0" fontId="43" fillId="0" borderId="55" xfId="0" applyFont="1" applyBorder="1" applyAlignment="1">
      <alignment vertical="center"/>
    </xf>
    <xf numFmtId="1" fontId="43" fillId="0" borderId="22" xfId="0" applyNumberFormat="1" applyFont="1" applyBorder="1" applyAlignment="1">
      <alignment vertical="center"/>
    </xf>
    <xf numFmtId="0" fontId="43" fillId="0" borderId="26" xfId="0" applyFont="1" applyBorder="1" applyAlignment="1">
      <alignment horizontal="center" vertical="center"/>
    </xf>
    <xf numFmtId="0" fontId="43" fillId="0" borderId="60" xfId="0" applyNumberFormat="1" applyFont="1" applyBorder="1" applyAlignment="1" applyProtection="1">
      <alignment vertical="center"/>
      <protection hidden="1"/>
    </xf>
    <xf numFmtId="181" fontId="43" fillId="25" borderId="26" xfId="0" applyNumberFormat="1" applyFont="1" applyFill="1" applyBorder="1" applyAlignment="1" applyProtection="1">
      <alignment vertical="center"/>
      <protection hidden="1"/>
    </xf>
    <xf numFmtId="181" fontId="43" fillId="25" borderId="63" xfId="0" applyNumberFormat="1" applyFont="1" applyFill="1" applyBorder="1" applyAlignment="1" applyProtection="1">
      <alignment vertical="center"/>
      <protection hidden="1"/>
    </xf>
    <xf numFmtId="181" fontId="43" fillId="25" borderId="74" xfId="0" applyNumberFormat="1" applyFont="1" applyFill="1" applyBorder="1" applyAlignment="1" applyProtection="1">
      <alignment vertical="center"/>
      <protection hidden="1"/>
    </xf>
    <xf numFmtId="0" fontId="43" fillId="0" borderId="27" xfId="0" applyFont="1" applyBorder="1" applyAlignment="1">
      <alignment vertical="center"/>
    </xf>
    <xf numFmtId="0" fontId="43" fillId="0" borderId="28" xfId="0" applyFont="1" applyBorder="1" applyAlignment="1">
      <alignment vertical="center"/>
    </xf>
    <xf numFmtId="0" fontId="43" fillId="0" borderId="26" xfId="0" applyFont="1" applyBorder="1" applyAlignment="1">
      <alignment vertical="center"/>
    </xf>
    <xf numFmtId="0" fontId="43" fillId="0" borderId="63" xfId="0" applyFont="1" applyBorder="1" applyAlignment="1">
      <alignment vertical="center"/>
    </xf>
    <xf numFmtId="1" fontId="43" fillId="0" borderId="28" xfId="0" applyNumberFormat="1" applyFont="1" applyBorder="1" applyAlignment="1">
      <alignment vertical="center"/>
    </xf>
    <xf numFmtId="181" fontId="43" fillId="0" borderId="38" xfId="0" applyNumberFormat="1" applyFont="1" applyBorder="1" applyAlignment="1">
      <alignment horizontal="right" vertical="center"/>
    </xf>
    <xf numFmtId="0" fontId="43" fillId="0" borderId="30" xfId="0" applyFont="1" applyBorder="1" applyAlignment="1">
      <alignment horizontal="center" vertical="center"/>
    </xf>
    <xf numFmtId="0" fontId="43" fillId="0" borderId="33" xfId="0" applyNumberFormat="1" applyFont="1" applyBorder="1" applyAlignment="1" applyProtection="1">
      <alignment vertical="center"/>
      <protection hidden="1"/>
    </xf>
    <xf numFmtId="181" fontId="43" fillId="25" borderId="31" xfId="0" applyNumberFormat="1" applyFont="1" applyFill="1" applyBorder="1" applyAlignment="1" applyProtection="1">
      <alignment vertical="center"/>
      <protection hidden="1"/>
    </xf>
    <xf numFmtId="181" fontId="43" fillId="25" borderId="64" xfId="0" applyNumberFormat="1" applyFont="1" applyFill="1" applyBorder="1" applyAlignment="1" applyProtection="1">
      <alignment vertical="center"/>
      <protection hidden="1"/>
    </xf>
    <xf numFmtId="181" fontId="43" fillId="25" borderId="75" xfId="0" applyNumberFormat="1" applyFont="1" applyFill="1" applyBorder="1" applyAlignment="1" applyProtection="1">
      <alignment vertical="center"/>
      <protection hidden="1"/>
    </xf>
    <xf numFmtId="0" fontId="43" fillId="0" borderId="17" xfId="0" applyFont="1" applyBorder="1" applyAlignment="1">
      <alignment vertical="center"/>
    </xf>
    <xf numFmtId="0" fontId="43" fillId="0" borderId="18" xfId="0" applyFont="1" applyBorder="1" applyAlignment="1">
      <alignment vertical="center"/>
    </xf>
    <xf numFmtId="0" fontId="43" fillId="0" borderId="31" xfId="0" applyFont="1" applyBorder="1" applyAlignment="1">
      <alignment vertical="center"/>
    </xf>
    <xf numFmtId="0" fontId="43" fillId="0" borderId="64" xfId="0" applyFont="1" applyBorder="1" applyAlignment="1">
      <alignment vertical="center"/>
    </xf>
    <xf numFmtId="1" fontId="43" fillId="0" borderId="18" xfId="0" applyNumberFormat="1" applyFont="1" applyBorder="1" applyAlignment="1">
      <alignment vertical="center"/>
    </xf>
    <xf numFmtId="184" fontId="43" fillId="0" borderId="67" xfId="0" applyNumberFormat="1" applyFont="1" applyFill="1" applyBorder="1" applyAlignment="1" applyProtection="1">
      <alignment vertical="center"/>
      <protection hidden="1"/>
    </xf>
    <xf numFmtId="177" fontId="43" fillId="0" borderId="38" xfId="0" applyNumberFormat="1" applyFont="1" applyBorder="1" applyAlignment="1" applyProtection="1">
      <alignment horizontal="right" vertical="center"/>
      <protection hidden="1"/>
    </xf>
    <xf numFmtId="0" fontId="43" fillId="0" borderId="16" xfId="0" applyFont="1" applyBorder="1" applyAlignment="1">
      <alignment horizontal="center" vertical="center"/>
    </xf>
    <xf numFmtId="0" fontId="43" fillId="0" borderId="22" xfId="0" applyFont="1" applyBorder="1" applyAlignment="1" applyProtection="1">
      <alignment vertical="center"/>
      <protection locked="0"/>
    </xf>
    <xf numFmtId="0" fontId="43" fillId="0" borderId="13" xfId="0" applyFont="1" applyBorder="1" applyAlignment="1" applyProtection="1">
      <alignment vertical="center"/>
      <protection locked="0"/>
    </xf>
    <xf numFmtId="0" fontId="43" fillId="0" borderId="55" xfId="0" applyFont="1" applyBorder="1" applyAlignment="1" applyProtection="1">
      <alignment vertical="center"/>
      <protection locked="0"/>
    </xf>
    <xf numFmtId="1" fontId="43" fillId="0" borderId="22" xfId="0" applyNumberFormat="1" applyFont="1" applyBorder="1" applyAlignment="1" applyProtection="1">
      <alignment vertical="center"/>
      <protection locked="0"/>
    </xf>
    <xf numFmtId="0" fontId="43" fillId="32" borderId="15" xfId="0" applyFont="1" applyFill="1" applyBorder="1" applyAlignment="1" applyProtection="1">
      <alignment vertical="center"/>
      <protection locked="0"/>
    </xf>
    <xf numFmtId="0" fontId="43" fillId="0" borderId="37" xfId="0" applyFont="1" applyBorder="1" applyAlignment="1">
      <alignment horizontal="center" vertical="center"/>
    </xf>
    <xf numFmtId="0" fontId="43" fillId="0" borderId="42" xfId="0" applyFont="1" applyBorder="1" applyAlignment="1">
      <alignment horizontal="center" vertical="center"/>
    </xf>
    <xf numFmtId="0" fontId="43" fillId="0" borderId="28" xfId="0" applyFont="1" applyBorder="1" applyAlignment="1" applyProtection="1">
      <alignment vertical="center"/>
      <protection locked="0"/>
    </xf>
    <xf numFmtId="0" fontId="43" fillId="0" borderId="26" xfId="0" applyFont="1" applyBorder="1" applyAlignment="1" applyProtection="1">
      <alignment vertical="center"/>
      <protection locked="0"/>
    </xf>
    <xf numFmtId="0" fontId="43" fillId="0" borderId="63" xfId="0" applyFont="1" applyBorder="1" applyAlignment="1" applyProtection="1">
      <alignment vertical="center"/>
      <protection locked="0"/>
    </xf>
    <xf numFmtId="1" fontId="43" fillId="0" borderId="28" xfId="0" applyNumberFormat="1" applyFont="1" applyBorder="1" applyAlignment="1" applyProtection="1">
      <alignment vertical="center"/>
      <protection locked="0"/>
    </xf>
    <xf numFmtId="0" fontId="43" fillId="32" borderId="74" xfId="0" applyFont="1" applyFill="1" applyBorder="1" applyAlignment="1" applyProtection="1">
      <alignment vertical="center"/>
      <protection locked="0"/>
    </xf>
    <xf numFmtId="0" fontId="43" fillId="0" borderId="28" xfId="0" applyFont="1" applyFill="1" applyBorder="1" applyAlignment="1" applyProtection="1">
      <alignment vertical="center"/>
      <protection locked="0"/>
    </xf>
    <xf numFmtId="1" fontId="43" fillId="0" borderId="28" xfId="0" applyNumberFormat="1" applyFont="1" applyFill="1" applyBorder="1" applyAlignment="1" applyProtection="1">
      <alignment vertical="center"/>
      <protection locked="0"/>
    </xf>
    <xf numFmtId="0" fontId="43" fillId="0" borderId="0" xfId="0" applyFont="1" applyBorder="1" applyAlignment="1">
      <alignment horizontal="center" vertical="center" wrapText="1"/>
    </xf>
    <xf numFmtId="0" fontId="43" fillId="0" borderId="29" xfId="0" applyFont="1" applyBorder="1" applyAlignment="1" applyProtection="1">
      <alignment vertical="center"/>
      <protection locked="0"/>
    </xf>
    <xf numFmtId="0" fontId="43" fillId="0" borderId="48" xfId="0" applyFont="1" applyBorder="1" applyAlignment="1" applyProtection="1">
      <alignment vertical="center"/>
      <protection locked="0"/>
    </xf>
    <xf numFmtId="0" fontId="43" fillId="0" borderId="66" xfId="0" applyFont="1" applyBorder="1" applyAlignment="1" applyProtection="1">
      <alignment vertical="center"/>
      <protection locked="0"/>
    </xf>
    <xf numFmtId="1" fontId="43" fillId="0" borderId="29" xfId="0" applyNumberFormat="1" applyFont="1" applyBorder="1" applyAlignment="1" applyProtection="1">
      <alignment vertical="center"/>
      <protection locked="0"/>
    </xf>
    <xf numFmtId="0" fontId="43" fillId="32" borderId="77" xfId="0" applyFont="1" applyFill="1" applyBorder="1" applyAlignment="1" applyProtection="1">
      <alignment vertical="center"/>
      <protection locked="0"/>
    </xf>
    <xf numFmtId="185" fontId="43" fillId="0" borderId="0" xfId="0" applyNumberFormat="1" applyFont="1" applyBorder="1" applyAlignment="1">
      <alignment vertical="center"/>
    </xf>
    <xf numFmtId="184" fontId="43" fillId="0" borderId="68" xfId="0" applyNumberFormat="1" applyFont="1" applyFill="1" applyBorder="1" applyAlignment="1" applyProtection="1">
      <alignment vertical="center"/>
      <protection hidden="1"/>
    </xf>
    <xf numFmtId="177" fontId="43" fillId="0" borderId="39" xfId="0" applyNumberFormat="1" applyFont="1" applyBorder="1" applyAlignment="1" applyProtection="1">
      <alignment horizontal="right" vertical="center"/>
      <protection hidden="1"/>
    </xf>
    <xf numFmtId="0" fontId="43" fillId="0" borderId="10" xfId="0" applyFont="1" applyBorder="1" applyAlignment="1">
      <alignment horizontal="center" vertical="center"/>
    </xf>
    <xf numFmtId="0" fontId="43" fillId="0" borderId="19" xfId="0" applyFont="1" applyBorder="1" applyAlignment="1">
      <alignment horizontal="center" vertical="center"/>
    </xf>
    <xf numFmtId="0" fontId="43" fillId="0" borderId="18" xfId="0" applyFont="1" applyBorder="1" applyAlignment="1" applyProtection="1">
      <alignment vertical="center"/>
      <protection locked="0"/>
    </xf>
    <xf numFmtId="0" fontId="43" fillId="0" borderId="31" xfId="0" applyFont="1" applyBorder="1" applyAlignment="1" applyProtection="1">
      <alignment vertical="center"/>
      <protection locked="0"/>
    </xf>
    <xf numFmtId="0" fontId="43" fillId="0" borderId="64" xfId="0" applyFont="1" applyBorder="1" applyAlignment="1" applyProtection="1">
      <alignment vertical="center"/>
      <protection locked="0"/>
    </xf>
    <xf numFmtId="1" fontId="43" fillId="0" borderId="18" xfId="0" applyNumberFormat="1" applyFont="1" applyBorder="1" applyAlignment="1" applyProtection="1">
      <alignment vertical="center"/>
      <protection locked="0"/>
    </xf>
    <xf numFmtId="0" fontId="43" fillId="32" borderId="75" xfId="0" applyFont="1" applyFill="1" applyBorder="1" applyAlignment="1" applyProtection="1">
      <alignment vertical="center"/>
      <protection locked="0"/>
    </xf>
    <xf numFmtId="0" fontId="43" fillId="0" borderId="43" xfId="0" applyFont="1" applyBorder="1" applyAlignment="1">
      <alignment horizontal="center" vertical="center"/>
    </xf>
    <xf numFmtId="0" fontId="43" fillId="0" borderId="23" xfId="0" applyFont="1" applyBorder="1" applyAlignment="1">
      <alignment vertical="center"/>
    </xf>
    <xf numFmtId="0" fontId="43" fillId="0" borderId="32" xfId="0" applyFont="1" applyBorder="1" applyAlignment="1">
      <alignment vertical="center"/>
    </xf>
    <xf numFmtId="0" fontId="43" fillId="0" borderId="32" xfId="0" applyFont="1" applyBorder="1" applyAlignment="1" applyProtection="1">
      <alignment vertical="center"/>
      <protection locked="0"/>
    </xf>
    <xf numFmtId="0" fontId="43" fillId="0" borderId="24" xfId="0" applyFont="1" applyBorder="1" applyAlignment="1" applyProtection="1">
      <alignment vertical="center"/>
      <protection locked="0"/>
    </xf>
    <xf numFmtId="0" fontId="43" fillId="0" borderId="65" xfId="0" applyFont="1" applyBorder="1" applyAlignment="1" applyProtection="1">
      <alignment vertical="center"/>
      <protection locked="0"/>
    </xf>
    <xf numFmtId="1" fontId="43" fillId="0" borderId="32" xfId="0" applyNumberFormat="1" applyFont="1" applyBorder="1" applyAlignment="1" applyProtection="1">
      <alignment vertical="center"/>
      <protection locked="0"/>
    </xf>
    <xf numFmtId="0" fontId="43" fillId="32" borderId="78" xfId="0" applyFont="1" applyFill="1" applyBorder="1" applyAlignment="1" applyProtection="1">
      <alignment vertical="center"/>
      <protection locked="0"/>
    </xf>
    <xf numFmtId="0" fontId="43" fillId="0" borderId="33" xfId="0" applyFont="1" applyBorder="1" applyAlignment="1">
      <alignment horizontal="center" vertical="center"/>
    </xf>
    <xf numFmtId="0" fontId="43" fillId="0" borderId="34" xfId="0" applyFont="1" applyBorder="1" applyAlignment="1" applyProtection="1">
      <alignment vertical="center"/>
      <protection locked="0"/>
    </xf>
    <xf numFmtId="0" fontId="43" fillId="0" borderId="60" xfId="0" applyFont="1" applyBorder="1" applyAlignment="1" applyProtection="1">
      <alignment vertical="center"/>
      <protection locked="0"/>
    </xf>
    <xf numFmtId="0" fontId="43" fillId="0" borderId="0" xfId="0" applyFont="1" applyBorder="1" applyAlignment="1" applyProtection="1">
      <alignment vertical="center"/>
      <protection locked="0"/>
    </xf>
    <xf numFmtId="1" fontId="43" fillId="0" borderId="34" xfId="0" applyNumberFormat="1" applyFont="1" applyBorder="1" applyAlignment="1" applyProtection="1">
      <alignment vertical="center"/>
      <protection locked="0"/>
    </xf>
    <xf numFmtId="0" fontId="43" fillId="32" borderId="38" xfId="0" applyFont="1" applyFill="1" applyBorder="1" applyAlignment="1" applyProtection="1">
      <alignment vertical="center"/>
      <protection locked="0"/>
    </xf>
    <xf numFmtId="0" fontId="43" fillId="0" borderId="13" xfId="0" applyFont="1" applyBorder="1" applyAlignment="1">
      <alignment horizontal="center" vertical="center"/>
    </xf>
    <xf numFmtId="0" fontId="43" fillId="0" borderId="35" xfId="0" applyFont="1" applyBorder="1" applyAlignment="1">
      <alignment vertical="center"/>
    </xf>
    <xf numFmtId="0" fontId="43" fillId="0" borderId="29" xfId="0" applyFont="1" applyBorder="1" applyAlignment="1">
      <alignment vertical="center"/>
    </xf>
    <xf numFmtId="177" fontId="43" fillId="0" borderId="0" xfId="0" applyNumberFormat="1" applyFont="1" applyBorder="1"/>
    <xf numFmtId="0" fontId="49" fillId="29" borderId="57" xfId="0" applyFont="1" applyFill="1" applyBorder="1" applyAlignment="1">
      <alignment horizontal="center" vertical="center"/>
    </xf>
    <xf numFmtId="0" fontId="43" fillId="0" borderId="71" xfId="0" applyFont="1" applyBorder="1" applyAlignment="1">
      <alignment horizontal="center" vertical="center"/>
    </xf>
    <xf numFmtId="0" fontId="43" fillId="0" borderId="33" xfId="0" applyFont="1" applyBorder="1" applyAlignment="1">
      <alignment vertical="center"/>
    </xf>
    <xf numFmtId="0" fontId="43" fillId="0" borderId="44" xfId="0" applyFont="1" applyBorder="1" applyAlignment="1">
      <alignment horizontal="center" vertical="center"/>
    </xf>
    <xf numFmtId="0" fontId="43" fillId="0" borderId="11" xfId="0" applyFont="1" applyBorder="1" applyAlignment="1">
      <alignment horizontal="center" vertical="center"/>
    </xf>
    <xf numFmtId="0" fontId="43" fillId="0" borderId="44" xfId="0" applyFont="1" applyFill="1" applyBorder="1" applyAlignment="1">
      <alignment horizontal="center" vertical="center"/>
    </xf>
    <xf numFmtId="0" fontId="43" fillId="0" borderId="32" xfId="0" applyFont="1" applyBorder="1"/>
    <xf numFmtId="0" fontId="43" fillId="0" borderId="28" xfId="0" applyFont="1" applyBorder="1"/>
    <xf numFmtId="184" fontId="43" fillId="0" borderId="17" xfId="0" applyNumberFormat="1" applyFont="1" applyFill="1" applyBorder="1" applyAlignment="1" applyProtection="1">
      <alignment vertical="center"/>
      <protection hidden="1"/>
    </xf>
    <xf numFmtId="0" fontId="43" fillId="0" borderId="29" xfId="0" applyFont="1" applyBorder="1"/>
    <xf numFmtId="181" fontId="43" fillId="0" borderId="67" xfId="0" applyNumberFormat="1" applyFont="1" applyFill="1" applyBorder="1" applyAlignment="1" applyProtection="1">
      <alignment vertical="center"/>
      <protection hidden="1"/>
    </xf>
    <xf numFmtId="0" fontId="43" fillId="0" borderId="34" xfId="0" applyNumberFormat="1" applyFont="1" applyFill="1" applyBorder="1" applyAlignment="1" applyProtection="1">
      <alignment vertical="center"/>
      <protection hidden="1"/>
    </xf>
    <xf numFmtId="38" fontId="43" fillId="0" borderId="0" xfId="0" applyNumberFormat="1" applyFont="1"/>
    <xf numFmtId="38" fontId="43" fillId="0" borderId="22" xfId="33" applyFont="1" applyBorder="1"/>
    <xf numFmtId="0" fontId="43" fillId="0" borderId="34" xfId="0" applyNumberFormat="1" applyFont="1" applyBorder="1" applyAlignment="1" applyProtection="1">
      <alignment vertical="center"/>
      <protection hidden="1"/>
    </xf>
    <xf numFmtId="38" fontId="43" fillId="0" borderId="28" xfId="33" applyFont="1" applyBorder="1"/>
    <xf numFmtId="0" fontId="43" fillId="0" borderId="44" xfId="0" applyNumberFormat="1" applyFont="1" applyBorder="1" applyAlignment="1" applyProtection="1">
      <alignment vertical="center"/>
      <protection hidden="1"/>
    </xf>
    <xf numFmtId="38" fontId="43" fillId="0" borderId="18" xfId="33" applyFont="1" applyBorder="1"/>
    <xf numFmtId="38" fontId="43" fillId="0" borderId="32" xfId="33" applyFont="1" applyBorder="1"/>
    <xf numFmtId="0" fontId="43" fillId="0" borderId="60" xfId="0" applyFont="1" applyBorder="1" applyAlignment="1">
      <alignment horizontal="center" vertical="center"/>
    </xf>
    <xf numFmtId="38" fontId="43" fillId="0" borderId="29" xfId="33" applyFont="1" applyBorder="1"/>
    <xf numFmtId="0" fontId="43" fillId="0" borderId="29" xfId="33" applyNumberFormat="1" applyFont="1" applyBorder="1"/>
    <xf numFmtId="0" fontId="43" fillId="0" borderId="48" xfId="33" applyNumberFormat="1" applyFont="1" applyBorder="1" applyAlignment="1" applyProtection="1">
      <alignment vertical="center"/>
      <protection locked="0"/>
    </xf>
    <xf numFmtId="0" fontId="43" fillId="0" borderId="29" xfId="33" applyNumberFormat="1" applyFont="1" applyBorder="1" applyAlignment="1" applyProtection="1">
      <alignment vertical="center"/>
      <protection locked="0"/>
    </xf>
    <xf numFmtId="0" fontId="43" fillId="0" borderId="22" xfId="33" applyNumberFormat="1" applyFont="1" applyBorder="1"/>
    <xf numFmtId="0" fontId="43" fillId="0" borderId="13" xfId="0" applyNumberFormat="1" applyFont="1" applyBorder="1" applyAlignment="1" applyProtection="1">
      <alignment vertical="center"/>
      <protection locked="0"/>
    </xf>
    <xf numFmtId="0" fontId="43" fillId="0" borderId="22" xfId="0" applyNumberFormat="1" applyFont="1" applyBorder="1" applyAlignment="1" applyProtection="1">
      <alignment vertical="center"/>
      <protection locked="0"/>
    </xf>
    <xf numFmtId="0" fontId="43" fillId="0" borderId="28" xfId="33" applyNumberFormat="1" applyFont="1" applyBorder="1"/>
    <xf numFmtId="0" fontId="43" fillId="0" borderId="26" xfId="0" applyNumberFormat="1" applyFont="1" applyBorder="1" applyAlignment="1" applyProtection="1">
      <alignment vertical="center"/>
      <protection locked="0"/>
    </xf>
    <xf numFmtId="0" fontId="43" fillId="0" borderId="28" xfId="0" applyNumberFormat="1" applyFont="1" applyBorder="1" applyAlignment="1" applyProtection="1">
      <alignment vertical="center"/>
      <protection locked="0"/>
    </xf>
    <xf numFmtId="0" fontId="43" fillId="0" borderId="18" xfId="33" applyNumberFormat="1" applyFont="1" applyBorder="1"/>
    <xf numFmtId="0" fontId="43" fillId="0" borderId="31" xfId="0" applyNumberFormat="1" applyFont="1" applyBorder="1" applyAlignment="1" applyProtection="1">
      <alignment vertical="center"/>
      <protection locked="0"/>
    </xf>
    <xf numFmtId="0" fontId="43" fillId="0" borderId="18" xfId="0" applyNumberFormat="1" applyFont="1" applyBorder="1" applyAlignment="1" applyProtection="1">
      <alignment vertical="center"/>
      <protection locked="0"/>
    </xf>
    <xf numFmtId="0" fontId="43" fillId="0" borderId="0" xfId="0" applyNumberFormat="1" applyFont="1"/>
    <xf numFmtId="38" fontId="43" fillId="0" borderId="26" xfId="33" applyFont="1" applyBorder="1"/>
    <xf numFmtId="184" fontId="43" fillId="0" borderId="26" xfId="0" applyNumberFormat="1" applyFont="1" applyFill="1" applyBorder="1" applyAlignment="1" applyProtection="1">
      <alignment vertical="center"/>
      <protection hidden="1"/>
    </xf>
    <xf numFmtId="184" fontId="43" fillId="0" borderId="28" xfId="0" applyNumberFormat="1" applyFont="1" applyFill="1" applyBorder="1" applyAlignment="1" applyProtection="1">
      <alignment vertical="center"/>
      <protection hidden="1"/>
    </xf>
    <xf numFmtId="0" fontId="43" fillId="0" borderId="28" xfId="0" applyNumberFormat="1" applyFont="1" applyFill="1" applyBorder="1" applyAlignment="1" applyProtection="1">
      <alignment vertical="center"/>
      <protection hidden="1"/>
    </xf>
    <xf numFmtId="184" fontId="43" fillId="0" borderId="24" xfId="0" applyNumberFormat="1" applyFont="1" applyFill="1" applyBorder="1" applyAlignment="1" applyProtection="1">
      <alignment vertical="center"/>
      <protection hidden="1"/>
    </xf>
    <xf numFmtId="184" fontId="43" fillId="0" borderId="32" xfId="0" applyNumberFormat="1" applyFont="1" applyFill="1" applyBorder="1" applyAlignment="1" applyProtection="1">
      <alignment vertical="center"/>
      <protection hidden="1"/>
    </xf>
    <xf numFmtId="0" fontId="43" fillId="0" borderId="32" xfId="0" applyNumberFormat="1" applyFont="1" applyFill="1" applyBorder="1" applyAlignment="1" applyProtection="1">
      <alignment vertical="center"/>
      <protection hidden="1"/>
    </xf>
    <xf numFmtId="38" fontId="43" fillId="0" borderId="31" xfId="33" applyFont="1" applyBorder="1"/>
    <xf numFmtId="184" fontId="43" fillId="0" borderId="31" xfId="0" applyNumberFormat="1" applyFont="1" applyFill="1" applyBorder="1" applyAlignment="1" applyProtection="1">
      <alignment vertical="center"/>
      <protection hidden="1"/>
    </xf>
    <xf numFmtId="184" fontId="43" fillId="0" borderId="18" xfId="0" applyNumberFormat="1" applyFont="1" applyFill="1" applyBorder="1" applyAlignment="1" applyProtection="1">
      <alignment vertical="center"/>
      <protection hidden="1"/>
    </xf>
    <xf numFmtId="0" fontId="43" fillId="0" borderId="18" xfId="0" applyNumberFormat="1" applyFont="1" applyFill="1" applyBorder="1" applyAlignment="1" applyProtection="1">
      <alignment vertical="center"/>
      <protection hidden="1"/>
    </xf>
    <xf numFmtId="38" fontId="43" fillId="0" borderId="24" xfId="33" applyFont="1" applyBorder="1"/>
    <xf numFmtId="38" fontId="43" fillId="0" borderId="48" xfId="33" applyFont="1" applyBorder="1"/>
    <xf numFmtId="38" fontId="43" fillId="0" borderId="13" xfId="33" applyFont="1" applyBorder="1"/>
    <xf numFmtId="178" fontId="43" fillId="0" borderId="0" xfId="0" applyNumberFormat="1" applyFont="1"/>
    <xf numFmtId="186" fontId="43" fillId="0" borderId="0" xfId="0" applyNumberFormat="1" applyFont="1"/>
    <xf numFmtId="0" fontId="43" fillId="0" borderId="0" xfId="0" applyFont="1" applyFill="1" applyBorder="1"/>
    <xf numFmtId="0" fontId="43" fillId="0" borderId="0" xfId="0" applyFont="1" applyFill="1" applyBorder="1" applyAlignment="1">
      <alignment vertical="center"/>
    </xf>
    <xf numFmtId="40" fontId="43" fillId="0" borderId="22" xfId="33" applyNumberFormat="1" applyFont="1" applyFill="1" applyBorder="1" applyAlignment="1" applyProtection="1">
      <alignment vertical="center"/>
      <protection hidden="1"/>
    </xf>
    <xf numFmtId="40" fontId="43" fillId="0" borderId="32" xfId="33" applyNumberFormat="1" applyFont="1" applyBorder="1" applyAlignment="1" applyProtection="1">
      <alignment vertical="center"/>
      <protection hidden="1"/>
    </xf>
    <xf numFmtId="40" fontId="43" fillId="0" borderId="44" xfId="33" applyNumberFormat="1" applyFont="1" applyBorder="1" applyAlignment="1" applyProtection="1">
      <alignment vertical="center"/>
      <protection hidden="1"/>
    </xf>
    <xf numFmtId="40" fontId="43" fillId="0" borderId="0" xfId="33" applyNumberFormat="1" applyFont="1" applyFill="1" applyBorder="1" applyAlignment="1" applyProtection="1">
      <alignment vertical="center"/>
      <protection hidden="1"/>
    </xf>
    <xf numFmtId="40" fontId="43" fillId="0" borderId="22" xfId="33" applyNumberFormat="1" applyFont="1" applyBorder="1" applyAlignment="1" applyProtection="1">
      <alignment vertical="center"/>
      <protection hidden="1"/>
    </xf>
    <xf numFmtId="179" fontId="47" fillId="0" borderId="0" xfId="0" applyNumberFormat="1" applyFont="1" applyAlignment="1" applyProtection="1">
      <alignment horizontal="left" vertical="center"/>
      <protection hidden="1"/>
    </xf>
    <xf numFmtId="0" fontId="43" fillId="0" borderId="36" xfId="0" applyFont="1" applyBorder="1" applyAlignment="1">
      <alignment vertical="center"/>
    </xf>
    <xf numFmtId="0" fontId="43" fillId="0" borderId="58" xfId="0" applyFont="1" applyBorder="1" applyAlignment="1">
      <alignment vertical="center"/>
    </xf>
    <xf numFmtId="0" fontId="43" fillId="0" borderId="38" xfId="0" applyFont="1" applyBorder="1" applyAlignment="1">
      <alignment vertical="center"/>
    </xf>
    <xf numFmtId="0" fontId="43" fillId="0" borderId="34" xfId="0" applyFont="1" applyBorder="1" applyAlignment="1">
      <alignment horizontal="center" vertical="center"/>
    </xf>
    <xf numFmtId="0" fontId="43" fillId="0" borderId="36" xfId="0" applyFont="1" applyBorder="1" applyAlignment="1">
      <alignment horizontal="center" vertical="center"/>
    </xf>
    <xf numFmtId="179" fontId="34" fillId="0" borderId="50" xfId="0" applyNumberFormat="1" applyFont="1" applyFill="1" applyBorder="1" applyAlignment="1">
      <alignment horizontal="center" vertical="center"/>
    </xf>
    <xf numFmtId="0" fontId="43" fillId="0" borderId="39" xfId="0" applyFont="1" applyBorder="1" applyAlignment="1">
      <alignment vertical="center"/>
    </xf>
    <xf numFmtId="0" fontId="43" fillId="0" borderId="47" xfId="0" applyFont="1" applyBorder="1" applyAlignment="1">
      <alignment horizontal="center" vertical="center"/>
    </xf>
    <xf numFmtId="181" fontId="43" fillId="0" borderId="38" xfId="0" applyNumberFormat="1" applyFont="1" applyFill="1" applyBorder="1" applyAlignment="1" applyProtection="1">
      <alignment vertical="center"/>
      <protection hidden="1"/>
    </xf>
    <xf numFmtId="181" fontId="43" fillId="0" borderId="0" xfId="0" applyNumberFormat="1" applyFont="1" applyAlignment="1" applyProtection="1">
      <alignment vertical="center"/>
      <protection hidden="1"/>
    </xf>
    <xf numFmtId="181" fontId="43" fillId="0" borderId="32" xfId="0" applyNumberFormat="1" applyFont="1" applyBorder="1" applyAlignment="1">
      <alignment vertical="center"/>
    </xf>
    <xf numFmtId="0" fontId="43" fillId="0" borderId="32" xfId="0" applyNumberFormat="1" applyFont="1" applyBorder="1" applyAlignment="1">
      <alignment vertical="center"/>
    </xf>
    <xf numFmtId="0" fontId="43" fillId="0" borderId="32" xfId="0" applyNumberFormat="1" applyFont="1" applyBorder="1" applyAlignment="1" applyProtection="1">
      <alignment vertical="center"/>
      <protection locked="0"/>
    </xf>
    <xf numFmtId="0" fontId="43" fillId="0" borderId="24" xfId="0" applyNumberFormat="1" applyFont="1" applyBorder="1" applyAlignment="1" applyProtection="1">
      <alignment vertical="center"/>
      <protection locked="0"/>
    </xf>
    <xf numFmtId="0" fontId="43" fillId="0" borderId="24" xfId="0" applyNumberFormat="1" applyFont="1" applyBorder="1"/>
    <xf numFmtId="0" fontId="43" fillId="0" borderId="32" xfId="0" applyNumberFormat="1" applyFont="1" applyBorder="1"/>
    <xf numFmtId="177" fontId="43" fillId="0" borderId="38" xfId="0" applyNumberFormat="1" applyFont="1" applyBorder="1" applyAlignment="1" applyProtection="1">
      <alignment vertical="center"/>
      <protection hidden="1"/>
    </xf>
    <xf numFmtId="181" fontId="43" fillId="0" borderId="28" xfId="0" applyNumberFormat="1" applyFont="1" applyBorder="1" applyAlignment="1">
      <alignment vertical="center"/>
    </xf>
    <xf numFmtId="0" fontId="43" fillId="0" borderId="28" xfId="0" applyNumberFormat="1" applyFont="1" applyBorder="1" applyAlignment="1">
      <alignment vertical="center"/>
    </xf>
    <xf numFmtId="0" fontId="43" fillId="0" borderId="26" xfId="0" applyNumberFormat="1" applyFont="1" applyBorder="1"/>
    <xf numFmtId="0" fontId="43" fillId="0" borderId="28" xfId="0" applyNumberFormat="1" applyFont="1" applyBorder="1"/>
    <xf numFmtId="0" fontId="43" fillId="0" borderId="46" xfId="0" applyFont="1" applyBorder="1" applyAlignment="1">
      <alignment horizontal="center" vertical="center"/>
    </xf>
    <xf numFmtId="181" fontId="43" fillId="0" borderId="37" xfId="0" applyNumberFormat="1" applyFont="1" applyFill="1" applyBorder="1" applyAlignment="1" applyProtection="1">
      <alignment vertical="center"/>
      <protection hidden="1"/>
    </xf>
    <xf numFmtId="181" fontId="43" fillId="0" borderId="0" xfId="0" applyNumberFormat="1" applyFont="1" applyFill="1" applyBorder="1" applyAlignment="1" applyProtection="1">
      <alignment vertical="center"/>
      <protection hidden="1"/>
    </xf>
    <xf numFmtId="177" fontId="43" fillId="0" borderId="39" xfId="0" applyNumberFormat="1" applyFont="1" applyBorder="1" applyAlignment="1" applyProtection="1">
      <alignment vertical="center"/>
      <protection hidden="1"/>
    </xf>
    <xf numFmtId="181" fontId="43" fillId="0" borderId="29" xfId="0" applyNumberFormat="1" applyFont="1" applyBorder="1" applyAlignment="1">
      <alignment vertical="center"/>
    </xf>
    <xf numFmtId="0" fontId="43" fillId="0" borderId="29" xfId="0" applyNumberFormat="1" applyFont="1" applyBorder="1" applyAlignment="1">
      <alignment vertical="center"/>
    </xf>
    <xf numFmtId="0" fontId="43" fillId="0" borderId="29" xfId="0" applyNumberFormat="1" applyFont="1" applyBorder="1" applyAlignment="1" applyProtection="1">
      <alignment vertical="center"/>
      <protection locked="0"/>
    </xf>
    <xf numFmtId="0" fontId="43" fillId="0" borderId="48" xfId="0" applyNumberFormat="1" applyFont="1" applyBorder="1" applyAlignment="1" applyProtection="1">
      <alignment vertical="center"/>
      <protection locked="0"/>
    </xf>
    <xf numFmtId="0" fontId="43" fillId="0" borderId="48" xfId="0" applyNumberFormat="1" applyFont="1" applyBorder="1"/>
    <xf numFmtId="0" fontId="43" fillId="0" borderId="29" xfId="0" applyNumberFormat="1" applyFont="1" applyBorder="1"/>
    <xf numFmtId="181" fontId="43" fillId="0" borderId="14" xfId="0" applyNumberFormat="1" applyFont="1" applyFill="1" applyBorder="1" applyAlignment="1" applyProtection="1">
      <alignment vertical="center"/>
      <protection hidden="1"/>
    </xf>
    <xf numFmtId="181" fontId="43" fillId="0" borderId="22" xfId="0" applyNumberFormat="1" applyFont="1" applyBorder="1" applyAlignment="1">
      <alignment vertical="center"/>
    </xf>
    <xf numFmtId="0" fontId="43" fillId="0" borderId="22" xfId="0" applyNumberFormat="1" applyFont="1" applyBorder="1" applyAlignment="1">
      <alignment vertical="center"/>
    </xf>
    <xf numFmtId="0" fontId="43" fillId="0" borderId="13" xfId="0" applyNumberFormat="1" applyFont="1" applyBorder="1"/>
    <xf numFmtId="0" fontId="43" fillId="0" borderId="22" xfId="0" applyNumberFormat="1" applyFont="1" applyBorder="1"/>
    <xf numFmtId="181" fontId="43" fillId="0" borderId="68" xfId="0" applyNumberFormat="1" applyFont="1" applyFill="1" applyBorder="1" applyAlignment="1" applyProtection="1">
      <alignment vertical="center"/>
      <protection hidden="1"/>
    </xf>
    <xf numFmtId="181" fontId="43" fillId="0" borderId="18" xfId="0" applyNumberFormat="1" applyFont="1" applyBorder="1" applyAlignment="1">
      <alignment vertical="center"/>
    </xf>
    <xf numFmtId="0" fontId="43" fillId="0" borderId="18" xfId="0" applyNumberFormat="1" applyFont="1" applyBorder="1" applyAlignment="1">
      <alignment vertical="center"/>
    </xf>
    <xf numFmtId="0" fontId="43" fillId="0" borderId="31" xfId="0" applyNumberFormat="1" applyFont="1" applyBorder="1"/>
    <xf numFmtId="0" fontId="43" fillId="0" borderId="18" xfId="0" applyNumberFormat="1" applyFont="1" applyBorder="1"/>
    <xf numFmtId="181" fontId="43" fillId="0" borderId="69" xfId="0" applyNumberFormat="1" applyFont="1" applyFill="1" applyBorder="1" applyAlignment="1" applyProtection="1">
      <alignment vertical="center"/>
      <protection hidden="1"/>
    </xf>
    <xf numFmtId="181" fontId="43" fillId="0" borderId="70" xfId="0" applyNumberFormat="1" applyFont="1" applyFill="1" applyBorder="1" applyAlignment="1" applyProtection="1">
      <alignment vertical="center"/>
      <protection hidden="1"/>
    </xf>
    <xf numFmtId="177" fontId="43" fillId="0" borderId="36" xfId="0" applyNumberFormat="1" applyFont="1" applyBorder="1" applyAlignment="1" applyProtection="1">
      <alignment vertical="center"/>
      <protection hidden="1"/>
    </xf>
    <xf numFmtId="0" fontId="43" fillId="32" borderId="15" xfId="0" applyNumberFormat="1" applyFont="1" applyFill="1" applyBorder="1"/>
    <xf numFmtId="0" fontId="43" fillId="32" borderId="74" xfId="0" applyNumberFormat="1" applyFont="1" applyFill="1" applyBorder="1"/>
    <xf numFmtId="0" fontId="43" fillId="32" borderId="75" xfId="0" applyNumberFormat="1" applyFont="1" applyFill="1" applyBorder="1"/>
    <xf numFmtId="177" fontId="43" fillId="0" borderId="0" xfId="0" applyNumberFormat="1" applyFont="1" applyBorder="1" applyAlignment="1">
      <alignment vertical="center"/>
    </xf>
    <xf numFmtId="181" fontId="49" fillId="0" borderId="56" xfId="0" applyNumberFormat="1" applyFont="1" applyFill="1" applyBorder="1" applyAlignment="1">
      <alignment horizontal="center" vertical="center"/>
    </xf>
    <xf numFmtId="0" fontId="43" fillId="0" borderId="59" xfId="0" applyFont="1" applyBorder="1" applyAlignment="1">
      <alignment vertical="center"/>
    </xf>
    <xf numFmtId="182" fontId="43" fillId="0" borderId="61" xfId="0" applyNumberFormat="1" applyFont="1" applyBorder="1" applyAlignment="1">
      <alignment horizontal="left" vertical="center"/>
    </xf>
    <xf numFmtId="183" fontId="43" fillId="0" borderId="68" xfId="0" applyNumberFormat="1" applyFont="1" applyFill="1" applyBorder="1" applyAlignment="1" applyProtection="1">
      <alignment horizontal="center" vertical="center"/>
      <protection hidden="1"/>
    </xf>
    <xf numFmtId="0" fontId="43" fillId="0" borderId="62" xfId="0" applyFont="1" applyBorder="1" applyAlignment="1">
      <alignment vertical="center"/>
    </xf>
    <xf numFmtId="183" fontId="43" fillId="0" borderId="67" xfId="0" applyNumberFormat="1" applyFont="1" applyFill="1" applyBorder="1" applyAlignment="1" applyProtection="1">
      <alignment vertical="center"/>
      <protection hidden="1"/>
    </xf>
    <xf numFmtId="187" fontId="43" fillId="0" borderId="22" xfId="0" applyNumberFormat="1" applyFont="1" applyFill="1" applyBorder="1" applyAlignment="1" applyProtection="1">
      <alignment vertical="center"/>
      <protection hidden="1"/>
    </xf>
    <xf numFmtId="183" fontId="43" fillId="25" borderId="55" xfId="0" applyNumberFormat="1" applyFont="1" applyFill="1" applyBorder="1" applyAlignment="1" applyProtection="1">
      <alignment vertical="center"/>
      <protection hidden="1"/>
    </xf>
    <xf numFmtId="183" fontId="43" fillId="25" borderId="15" xfId="0" applyNumberFormat="1" applyFont="1" applyFill="1" applyBorder="1" applyAlignment="1" applyProtection="1">
      <alignment vertical="center"/>
      <protection hidden="1"/>
    </xf>
    <xf numFmtId="183" fontId="43" fillId="0" borderId="61" xfId="0" applyNumberFormat="1" applyFont="1" applyFill="1" applyBorder="1" applyAlignment="1" applyProtection="1">
      <alignment vertical="center"/>
      <protection hidden="1"/>
    </xf>
    <xf numFmtId="183" fontId="43" fillId="0" borderId="0" xfId="0" applyNumberFormat="1" applyFont="1" applyAlignment="1" applyProtection="1">
      <alignment vertical="center"/>
      <protection hidden="1"/>
    </xf>
    <xf numFmtId="183" fontId="43" fillId="0" borderId="22" xfId="0" applyNumberFormat="1" applyFont="1" applyBorder="1" applyAlignment="1">
      <alignment vertical="center"/>
    </xf>
    <xf numFmtId="183" fontId="43" fillId="0" borderId="22" xfId="0" applyNumberFormat="1" applyFont="1" applyBorder="1" applyAlignment="1" applyProtection="1">
      <alignment vertical="center"/>
      <protection locked="0"/>
    </xf>
    <xf numFmtId="183" fontId="43" fillId="0" borderId="13" xfId="0" applyNumberFormat="1" applyFont="1" applyBorder="1" applyAlignment="1" applyProtection="1">
      <alignment vertical="center"/>
      <protection locked="0"/>
    </xf>
    <xf numFmtId="0" fontId="43" fillId="0" borderId="24" xfId="0" applyFont="1" applyBorder="1"/>
    <xf numFmtId="188" fontId="43" fillId="0" borderId="24" xfId="33" applyNumberFormat="1" applyFont="1" applyBorder="1"/>
    <xf numFmtId="188" fontId="43" fillId="0" borderId="24" xfId="0" applyNumberFormat="1" applyFont="1" applyBorder="1"/>
    <xf numFmtId="187" fontId="43" fillId="0" borderId="32" xfId="0" applyNumberFormat="1" applyFont="1" applyFill="1" applyBorder="1" applyAlignment="1" applyProtection="1">
      <alignment vertical="center"/>
      <protection hidden="1"/>
    </xf>
    <xf numFmtId="183" fontId="43" fillId="25" borderId="63" xfId="0" applyNumberFormat="1" applyFont="1" applyFill="1" applyBorder="1" applyAlignment="1" applyProtection="1">
      <alignment vertical="center"/>
      <protection hidden="1"/>
    </xf>
    <xf numFmtId="183" fontId="43" fillId="25" borderId="74" xfId="0" applyNumberFormat="1" applyFont="1" applyFill="1" applyBorder="1" applyAlignment="1" applyProtection="1">
      <alignment vertical="center"/>
      <protection hidden="1"/>
    </xf>
    <xf numFmtId="177" fontId="43" fillId="0" borderId="61" xfId="0" applyNumberFormat="1" applyFont="1" applyBorder="1" applyAlignment="1" applyProtection="1">
      <alignment vertical="center"/>
      <protection hidden="1"/>
    </xf>
    <xf numFmtId="183" fontId="43" fillId="0" borderId="28" xfId="0" applyNumberFormat="1" applyFont="1" applyBorder="1" applyAlignment="1">
      <alignment vertical="center"/>
    </xf>
    <xf numFmtId="183" fontId="43" fillId="0" borderId="28" xfId="0" applyNumberFormat="1" applyFont="1" applyBorder="1" applyAlignment="1" applyProtection="1">
      <alignment vertical="center"/>
      <protection locked="0"/>
    </xf>
    <xf numFmtId="183" fontId="43" fillId="0" borderId="26" xfId="0" applyNumberFormat="1" applyFont="1" applyBorder="1" applyAlignment="1" applyProtection="1">
      <alignment vertical="center"/>
      <protection locked="0"/>
    </xf>
    <xf numFmtId="0" fontId="43" fillId="0" borderId="26" xfId="0" applyFont="1" applyBorder="1"/>
    <xf numFmtId="188" fontId="43" fillId="0" borderId="26" xfId="33" applyNumberFormat="1" applyFont="1" applyBorder="1"/>
    <xf numFmtId="188" fontId="43" fillId="0" borderId="26" xfId="0" applyNumberFormat="1" applyFont="1" applyBorder="1"/>
    <xf numFmtId="183" fontId="43" fillId="0" borderId="37" xfId="0" applyNumberFormat="1" applyFont="1" applyFill="1" applyBorder="1" applyAlignment="1" applyProtection="1">
      <alignment vertical="center"/>
      <protection hidden="1"/>
    </xf>
    <xf numFmtId="187" fontId="43" fillId="0" borderId="34" xfId="0" applyNumberFormat="1" applyFont="1" applyFill="1" applyBorder="1" applyAlignment="1" applyProtection="1">
      <alignment vertical="center"/>
      <protection hidden="1"/>
    </xf>
    <xf numFmtId="183" fontId="43" fillId="25" borderId="64" xfId="0" applyNumberFormat="1" applyFont="1" applyFill="1" applyBorder="1" applyAlignment="1" applyProtection="1">
      <alignment vertical="center"/>
      <protection hidden="1"/>
    </xf>
    <xf numFmtId="183" fontId="43" fillId="25" borderId="75" xfId="0" applyNumberFormat="1" applyFont="1" applyFill="1" applyBorder="1" applyAlignment="1" applyProtection="1">
      <alignment vertical="center"/>
      <protection hidden="1"/>
    </xf>
    <xf numFmtId="177" fontId="43" fillId="0" borderId="62" xfId="0" applyNumberFormat="1" applyFont="1" applyBorder="1" applyAlignment="1" applyProtection="1">
      <alignment vertical="center"/>
      <protection hidden="1"/>
    </xf>
    <xf numFmtId="183" fontId="43" fillId="0" borderId="18" xfId="0" applyNumberFormat="1" applyFont="1" applyBorder="1" applyAlignment="1">
      <alignment vertical="center"/>
    </xf>
    <xf numFmtId="183" fontId="43" fillId="0" borderId="18" xfId="0" applyNumberFormat="1" applyFont="1" applyBorder="1" applyAlignment="1" applyProtection="1">
      <alignment vertical="center"/>
      <protection locked="0"/>
    </xf>
    <xf numFmtId="183" fontId="43" fillId="0" borderId="31" xfId="0" applyNumberFormat="1" applyFont="1" applyBorder="1" applyAlignment="1" applyProtection="1">
      <alignment vertical="center"/>
      <protection locked="0"/>
    </xf>
    <xf numFmtId="0" fontId="43" fillId="0" borderId="48" xfId="0" applyFont="1" applyBorder="1"/>
    <xf numFmtId="188" fontId="43" fillId="0" borderId="48" xfId="33" applyNumberFormat="1" applyFont="1" applyBorder="1"/>
    <xf numFmtId="188" fontId="43" fillId="0" borderId="48" xfId="0" applyNumberFormat="1" applyFont="1" applyBorder="1"/>
    <xf numFmtId="183" fontId="43" fillId="0" borderId="14" xfId="0" applyNumberFormat="1" applyFont="1" applyFill="1" applyBorder="1" applyAlignment="1" applyProtection="1">
      <alignment vertical="center"/>
      <protection hidden="1"/>
    </xf>
    <xf numFmtId="183" fontId="43" fillId="0" borderId="32" xfId="0" applyNumberFormat="1" applyFont="1" applyBorder="1" applyAlignment="1">
      <alignment vertical="center"/>
    </xf>
    <xf numFmtId="183" fontId="43" fillId="0" borderId="32" xfId="0" applyNumberFormat="1" applyFont="1" applyBorder="1" applyAlignment="1" applyProtection="1">
      <alignment vertical="center"/>
      <protection locked="0"/>
    </xf>
    <xf numFmtId="183" fontId="43" fillId="0" borderId="24" xfId="0" applyNumberFormat="1" applyFont="1" applyBorder="1" applyAlignment="1" applyProtection="1">
      <alignment vertical="center"/>
      <protection locked="0"/>
    </xf>
    <xf numFmtId="0" fontId="43" fillId="0" borderId="13" xfId="0" applyFont="1" applyBorder="1"/>
    <xf numFmtId="0" fontId="43" fillId="0" borderId="22" xfId="0" applyFont="1" applyBorder="1"/>
    <xf numFmtId="188" fontId="43" fillId="0" borderId="13" xfId="0" applyNumberFormat="1" applyFont="1" applyBorder="1"/>
    <xf numFmtId="183" fontId="43" fillId="0" borderId="68" xfId="0" applyNumberFormat="1" applyFont="1" applyFill="1" applyBorder="1" applyAlignment="1" applyProtection="1">
      <alignment vertical="center"/>
      <protection hidden="1"/>
    </xf>
    <xf numFmtId="187" fontId="43" fillId="0" borderId="44" xfId="0" applyNumberFormat="1" applyFont="1" applyFill="1" applyBorder="1" applyAlignment="1" applyProtection="1">
      <alignment vertical="center"/>
      <protection hidden="1"/>
    </xf>
    <xf numFmtId="0" fontId="43" fillId="0" borderId="31" xfId="0" applyFont="1" applyBorder="1"/>
    <xf numFmtId="0" fontId="43" fillId="0" borderId="18" xfId="0" applyFont="1" applyBorder="1"/>
    <xf numFmtId="188" fontId="43" fillId="0" borderId="31" xfId="33" applyNumberFormat="1" applyFont="1" applyBorder="1"/>
    <xf numFmtId="188" fontId="43" fillId="0" borderId="31" xfId="0" applyNumberFormat="1" applyFont="1" applyBorder="1"/>
    <xf numFmtId="183" fontId="43" fillId="0" borderId="69" xfId="0" applyNumberFormat="1" applyFont="1" applyFill="1" applyBorder="1" applyAlignment="1" applyProtection="1">
      <alignment vertical="center"/>
      <protection hidden="1"/>
    </xf>
    <xf numFmtId="183" fontId="43" fillId="0" borderId="70" xfId="0" applyNumberFormat="1" applyFont="1" applyFill="1" applyBorder="1" applyAlignment="1" applyProtection="1">
      <alignment vertical="center"/>
      <protection hidden="1"/>
    </xf>
    <xf numFmtId="177" fontId="43" fillId="0" borderId="72" xfId="0" applyNumberFormat="1" applyFont="1" applyBorder="1" applyAlignment="1" applyProtection="1">
      <alignment vertical="center"/>
      <protection hidden="1"/>
    </xf>
    <xf numFmtId="0" fontId="50" fillId="0" borderId="59" xfId="0" applyFont="1" applyBorder="1" applyAlignment="1">
      <alignment vertical="center"/>
    </xf>
    <xf numFmtId="0" fontId="50" fillId="0" borderId="11" xfId="0" applyFont="1" applyFill="1" applyBorder="1" applyAlignment="1">
      <alignment horizontal="center" vertical="center"/>
    </xf>
    <xf numFmtId="0" fontId="53" fillId="0" borderId="0" xfId="0" applyFont="1" applyBorder="1" applyAlignment="1">
      <alignment vertical="center" wrapText="1"/>
    </xf>
    <xf numFmtId="179" fontId="34" fillId="0" borderId="14" xfId="0" applyNumberFormat="1" applyFont="1" applyFill="1" applyBorder="1" applyAlignment="1">
      <alignment horizontal="center" vertical="center"/>
    </xf>
    <xf numFmtId="0" fontId="43" fillId="0" borderId="62" xfId="0" applyFont="1" applyBorder="1" applyAlignment="1">
      <alignment horizontal="right" vertical="center"/>
    </xf>
    <xf numFmtId="0" fontId="43" fillId="0" borderId="34" xfId="0" applyNumberFormat="1" applyFont="1" applyBorder="1" applyAlignment="1">
      <alignment vertical="center"/>
    </xf>
    <xf numFmtId="0" fontId="43" fillId="0" borderId="60" xfId="0" applyNumberFormat="1" applyFont="1" applyBorder="1" applyAlignment="1">
      <alignment vertical="center"/>
    </xf>
    <xf numFmtId="182" fontId="43" fillId="0" borderId="60" xfId="0" applyNumberFormat="1" applyFont="1" applyBorder="1" applyAlignment="1" applyProtection="1">
      <alignment horizontal="center" vertical="center"/>
      <protection hidden="1"/>
    </xf>
    <xf numFmtId="182" fontId="43" fillId="0" borderId="0" xfId="0" applyNumberFormat="1" applyFont="1" applyBorder="1" applyAlignment="1" applyProtection="1">
      <alignment horizontal="center" vertical="center"/>
      <protection hidden="1"/>
    </xf>
    <xf numFmtId="182" fontId="43" fillId="0" borderId="38" xfId="0" applyNumberFormat="1" applyFont="1" applyBorder="1" applyAlignment="1" applyProtection="1">
      <alignment horizontal="center" vertical="center"/>
      <protection hidden="1"/>
    </xf>
    <xf numFmtId="0" fontId="43" fillId="0" borderId="61" xfId="0" applyFont="1" applyBorder="1" applyAlignment="1">
      <alignment horizontal="right" vertical="center"/>
    </xf>
    <xf numFmtId="0" fontId="43" fillId="0" borderId="53" xfId="0" applyFont="1" applyBorder="1" applyAlignment="1">
      <alignment horizontal="center" vertical="center"/>
    </xf>
    <xf numFmtId="184" fontId="43" fillId="0" borderId="10" xfId="0" applyNumberFormat="1" applyFont="1" applyFill="1" applyBorder="1" applyAlignment="1" applyProtection="1">
      <alignment vertical="center"/>
      <protection hidden="1"/>
    </xf>
    <xf numFmtId="0" fontId="43" fillId="0" borderId="33" xfId="0" applyNumberFormat="1" applyFont="1" applyBorder="1" applyAlignment="1">
      <alignment vertical="center"/>
    </xf>
    <xf numFmtId="182" fontId="43" fillId="0" borderId="33" xfId="0" applyNumberFormat="1" applyFont="1" applyBorder="1" applyAlignment="1" applyProtection="1">
      <alignment horizontal="center" vertical="center"/>
      <protection hidden="1"/>
    </xf>
    <xf numFmtId="182" fontId="43" fillId="0" borderId="11" xfId="0" applyNumberFormat="1" applyFont="1" applyBorder="1" applyAlignment="1" applyProtection="1">
      <alignment horizontal="center" vertical="center"/>
      <protection hidden="1"/>
    </xf>
    <xf numFmtId="182" fontId="43" fillId="0" borderId="39" xfId="0" applyNumberFormat="1" applyFont="1" applyBorder="1" applyAlignment="1" applyProtection="1">
      <alignment horizontal="center" vertical="center"/>
      <protection hidden="1"/>
    </xf>
    <xf numFmtId="181" fontId="43" fillId="25" borderId="24" xfId="0" applyNumberFormat="1" applyFont="1" applyFill="1" applyBorder="1" applyAlignment="1" applyProtection="1">
      <alignment vertical="center"/>
      <protection hidden="1"/>
    </xf>
    <xf numFmtId="181" fontId="43" fillId="25" borderId="65" xfId="0" applyNumberFormat="1" applyFont="1" applyFill="1" applyBorder="1" applyAlignment="1" applyProtection="1">
      <alignment vertical="center"/>
      <protection hidden="1"/>
    </xf>
    <xf numFmtId="181" fontId="43" fillId="25" borderId="78" xfId="0" applyNumberFormat="1" applyFont="1" applyFill="1" applyBorder="1" applyAlignment="1" applyProtection="1">
      <alignment vertical="center"/>
      <protection hidden="1"/>
    </xf>
    <xf numFmtId="181" fontId="43" fillId="0" borderId="61" xfId="0" applyNumberFormat="1" applyFont="1" applyBorder="1" applyAlignment="1" applyProtection="1">
      <alignment horizontal="right" vertical="center"/>
      <protection hidden="1"/>
    </xf>
    <xf numFmtId="0" fontId="43" fillId="0" borderId="50" xfId="0" applyFont="1" applyBorder="1" applyAlignment="1">
      <alignment vertical="center"/>
    </xf>
    <xf numFmtId="177" fontId="43" fillId="0" borderId="61" xfId="0" applyNumberFormat="1" applyFont="1" applyBorder="1" applyAlignment="1" applyProtection="1">
      <alignment horizontal="right" vertical="center"/>
      <protection hidden="1"/>
    </xf>
    <xf numFmtId="0" fontId="43" fillId="0" borderId="51" xfId="0" applyFont="1" applyBorder="1" applyAlignment="1">
      <alignment vertical="center"/>
    </xf>
    <xf numFmtId="177" fontId="43" fillId="0" borderId="62" xfId="0" applyNumberFormat="1" applyFont="1" applyBorder="1" applyAlignment="1" applyProtection="1">
      <alignment horizontal="right" vertical="center"/>
      <protection hidden="1"/>
    </xf>
    <xf numFmtId="0" fontId="43" fillId="0" borderId="47" xfId="0" applyFont="1" applyBorder="1" applyAlignment="1">
      <alignment vertical="center"/>
    </xf>
    <xf numFmtId="0" fontId="43" fillId="0" borderId="65" xfId="0" applyFont="1" applyBorder="1" applyAlignment="1">
      <alignment vertical="center"/>
    </xf>
    <xf numFmtId="0" fontId="43" fillId="0" borderId="52" xfId="0" applyFont="1" applyBorder="1" applyAlignment="1">
      <alignment vertical="center"/>
    </xf>
    <xf numFmtId="0" fontId="43" fillId="0" borderId="53" xfId="0" applyFont="1" applyBorder="1" applyAlignment="1">
      <alignment vertical="center"/>
    </xf>
    <xf numFmtId="186" fontId="43" fillId="0" borderId="60" xfId="33" applyNumberFormat="1" applyFont="1" applyBorder="1" applyAlignment="1" applyProtection="1">
      <alignment vertical="center"/>
      <protection locked="0"/>
    </xf>
    <xf numFmtId="38" fontId="43" fillId="0" borderId="34" xfId="33" applyNumberFormat="1" applyFont="1" applyBorder="1" applyAlignment="1" applyProtection="1">
      <alignment vertical="center"/>
      <protection locked="0"/>
    </xf>
    <xf numFmtId="38" fontId="43" fillId="0" borderId="0" xfId="33" applyNumberFormat="1" applyFont="1" applyBorder="1" applyAlignment="1" applyProtection="1">
      <alignment vertical="center"/>
      <protection locked="0"/>
    </xf>
    <xf numFmtId="38" fontId="43" fillId="0" borderId="60" xfId="33" applyNumberFormat="1" applyFont="1" applyBorder="1" applyAlignment="1" applyProtection="1">
      <alignment vertical="center"/>
      <protection locked="0"/>
    </xf>
    <xf numFmtId="0" fontId="43" fillId="0" borderId="66" xfId="0" applyFont="1" applyBorder="1" applyAlignment="1">
      <alignment vertical="center"/>
    </xf>
    <xf numFmtId="0" fontId="43" fillId="0" borderId="54" xfId="0" applyFont="1" applyBorder="1" applyAlignment="1">
      <alignment vertical="center"/>
    </xf>
    <xf numFmtId="0" fontId="43" fillId="0" borderId="50" xfId="0" applyFont="1" applyBorder="1" applyAlignment="1" applyProtection="1">
      <alignment vertical="center"/>
      <protection locked="0"/>
    </xf>
    <xf numFmtId="0" fontId="43" fillId="0" borderId="51" xfId="0" applyFont="1" applyBorder="1" applyAlignment="1" applyProtection="1">
      <alignment vertical="center"/>
      <protection locked="0"/>
    </xf>
    <xf numFmtId="0" fontId="43" fillId="0" borderId="47" xfId="0" applyFont="1" applyBorder="1" applyAlignment="1" applyProtection="1">
      <alignment vertical="center"/>
      <protection locked="0"/>
    </xf>
    <xf numFmtId="0" fontId="43" fillId="0" borderId="73" xfId="0" applyNumberFormat="1" applyFont="1" applyBorder="1" applyAlignment="1">
      <alignment vertical="center"/>
    </xf>
    <xf numFmtId="0" fontId="43" fillId="0" borderId="71" xfId="0" applyNumberFormat="1" applyFont="1" applyBorder="1" applyAlignment="1">
      <alignment vertical="center"/>
    </xf>
    <xf numFmtId="182" fontId="43" fillId="0" borderId="71" xfId="0" applyNumberFormat="1" applyFont="1" applyBorder="1" applyAlignment="1" applyProtection="1">
      <alignment horizontal="center" vertical="center"/>
      <protection hidden="1"/>
    </xf>
    <xf numFmtId="182" fontId="43" fillId="0" borderId="49" xfId="0" applyNumberFormat="1" applyFont="1" applyBorder="1" applyAlignment="1" applyProtection="1">
      <alignment horizontal="center" vertical="center"/>
      <protection hidden="1"/>
    </xf>
    <xf numFmtId="182" fontId="43" fillId="0" borderId="26" xfId="0" applyNumberFormat="1" applyFont="1" applyBorder="1" applyAlignment="1" applyProtection="1">
      <alignment horizontal="center" vertical="center"/>
      <protection hidden="1"/>
    </xf>
    <xf numFmtId="182" fontId="43" fillId="0" borderId="63" xfId="0" applyNumberFormat="1" applyFont="1" applyBorder="1" applyAlignment="1" applyProtection="1">
      <alignment horizontal="center" vertical="center"/>
      <protection hidden="1"/>
    </xf>
    <xf numFmtId="0" fontId="43" fillId="0" borderId="60" xfId="33" applyNumberFormat="1" applyFont="1" applyBorder="1" applyAlignment="1" applyProtection="1">
      <alignment vertical="center"/>
      <protection locked="0"/>
    </xf>
    <xf numFmtId="177" fontId="43" fillId="0" borderId="0" xfId="0" applyNumberFormat="1" applyFont="1" applyBorder="1" applyAlignment="1" applyProtection="1">
      <alignment vertical="center"/>
      <protection hidden="1"/>
    </xf>
    <xf numFmtId="0" fontId="37" fillId="0" borderId="0" xfId="0" applyFont="1" applyBorder="1" applyAlignment="1">
      <alignment vertical="center"/>
    </xf>
    <xf numFmtId="0" fontId="54" fillId="0" borderId="0" xfId="0" applyFont="1"/>
    <xf numFmtId="0" fontId="54" fillId="0" borderId="0" xfId="0" applyFont="1" applyAlignment="1">
      <alignment vertical="center"/>
    </xf>
    <xf numFmtId="0" fontId="43" fillId="0" borderId="0" xfId="0" applyFont="1" applyFill="1" applyAlignment="1">
      <alignment vertical="center"/>
    </xf>
    <xf numFmtId="0" fontId="43" fillId="0" borderId="0" xfId="0" applyNumberFormat="1" applyFont="1" applyFill="1"/>
    <xf numFmtId="0" fontId="43" fillId="0" borderId="18" xfId="0" applyFont="1" applyFill="1" applyBorder="1" applyAlignment="1">
      <alignment horizontal="center" vertical="center"/>
    </xf>
    <xf numFmtId="0" fontId="43" fillId="0" borderId="32" xfId="0" applyNumberFormat="1" applyFont="1" applyFill="1" applyBorder="1" applyAlignment="1" applyProtection="1">
      <alignment vertical="center"/>
      <protection locked="0"/>
    </xf>
    <xf numFmtId="0" fontId="43" fillId="0" borderId="28" xfId="0" applyNumberFormat="1" applyFont="1" applyFill="1" applyBorder="1" applyAlignment="1" applyProtection="1">
      <alignment vertical="center"/>
      <protection locked="0"/>
    </xf>
    <xf numFmtId="0" fontId="43" fillId="0" borderId="29" xfId="0" applyNumberFormat="1" applyFont="1" applyFill="1" applyBorder="1" applyAlignment="1" applyProtection="1">
      <alignment vertical="center"/>
      <protection locked="0"/>
    </xf>
    <xf numFmtId="0" fontId="43" fillId="0" borderId="22" xfId="0" applyNumberFormat="1" applyFont="1" applyFill="1" applyBorder="1" applyAlignment="1" applyProtection="1">
      <alignment vertical="center"/>
      <protection locked="0"/>
    </xf>
    <xf numFmtId="0" fontId="43" fillId="0" borderId="18" xfId="0" applyNumberFormat="1" applyFont="1" applyFill="1" applyBorder="1" applyAlignment="1" applyProtection="1">
      <alignment vertical="center"/>
      <protection locked="0"/>
    </xf>
    <xf numFmtId="0" fontId="43" fillId="0" borderId="0" xfId="0" applyFont="1" applyFill="1"/>
    <xf numFmtId="183" fontId="43" fillId="0" borderId="22" xfId="0" applyNumberFormat="1" applyFont="1" applyFill="1" applyBorder="1" applyAlignment="1" applyProtection="1">
      <alignment vertical="center"/>
      <protection locked="0"/>
    </xf>
    <xf numFmtId="183" fontId="43" fillId="0" borderId="28" xfId="0" applyNumberFormat="1" applyFont="1" applyFill="1" applyBorder="1" applyAlignment="1" applyProtection="1">
      <alignment vertical="center"/>
      <protection locked="0"/>
    </xf>
    <xf numFmtId="183" fontId="43" fillId="0" borderId="18" xfId="0" applyNumberFormat="1" applyFont="1" applyFill="1" applyBorder="1" applyAlignment="1" applyProtection="1">
      <alignment vertical="center"/>
      <protection locked="0"/>
    </xf>
    <xf numFmtId="183" fontId="43" fillId="0" borderId="32" xfId="0" applyNumberFormat="1" applyFont="1" applyFill="1" applyBorder="1" applyAlignment="1" applyProtection="1">
      <alignment vertical="center"/>
      <protection locked="0"/>
    </xf>
    <xf numFmtId="0" fontId="43" fillId="0" borderId="31" xfId="0" applyFont="1" applyFill="1" applyBorder="1" applyAlignment="1">
      <alignment horizontal="center" vertical="center"/>
    </xf>
    <xf numFmtId="2" fontId="43" fillId="0" borderId="24" xfId="0" applyNumberFormat="1" applyFont="1" applyBorder="1"/>
    <xf numFmtId="2" fontId="43" fillId="0" borderId="26" xfId="0" applyNumberFormat="1" applyFont="1" applyBorder="1"/>
    <xf numFmtId="2" fontId="43" fillId="0" borderId="31" xfId="0" applyNumberFormat="1" applyFont="1" applyBorder="1"/>
    <xf numFmtId="2" fontId="43" fillId="0" borderId="48" xfId="0" applyNumberFormat="1" applyFont="1" applyBorder="1"/>
    <xf numFmtId="2" fontId="43" fillId="0" borderId="13" xfId="0" applyNumberFormat="1" applyFont="1" applyBorder="1"/>
    <xf numFmtId="0" fontId="43" fillId="0" borderId="34" xfId="0" applyFont="1" applyBorder="1" applyAlignment="1">
      <alignment horizontal="center" vertical="center"/>
    </xf>
    <xf numFmtId="0" fontId="43" fillId="0" borderId="44" xfId="0" applyFont="1" applyBorder="1" applyAlignment="1">
      <alignment horizontal="center" vertical="center"/>
    </xf>
    <xf numFmtId="0" fontId="50" fillId="0" borderId="38" xfId="0" applyFont="1" applyBorder="1" applyAlignment="1">
      <alignment vertical="center"/>
    </xf>
    <xf numFmtId="0" fontId="50" fillId="0" borderId="66" xfId="0" applyFont="1" applyFill="1" applyBorder="1" applyAlignment="1">
      <alignment horizontal="center" vertical="center"/>
    </xf>
    <xf numFmtId="0" fontId="43" fillId="0" borderId="66" xfId="0" applyFont="1" applyFill="1" applyBorder="1" applyAlignment="1">
      <alignment horizontal="center" vertical="center"/>
    </xf>
    <xf numFmtId="0" fontId="43" fillId="0" borderId="0" xfId="0" applyFont="1" applyFill="1" applyBorder="1" applyAlignment="1">
      <alignment horizontal="center" vertical="center"/>
    </xf>
    <xf numFmtId="190" fontId="43" fillId="0" borderId="66" xfId="0" applyNumberFormat="1" applyFont="1" applyBorder="1" applyAlignment="1">
      <alignment vertical="center"/>
    </xf>
    <xf numFmtId="190" fontId="43" fillId="0" borderId="66" xfId="0" applyNumberFormat="1" applyFont="1" applyBorder="1" applyAlignment="1">
      <alignment vertical="center" wrapText="1"/>
    </xf>
    <xf numFmtId="190" fontId="43" fillId="0" borderId="0" xfId="0" applyNumberFormat="1" applyFont="1" applyBorder="1" applyAlignment="1">
      <alignment vertical="center"/>
    </xf>
    <xf numFmtId="190" fontId="43" fillId="0" borderId="0" xfId="0" applyNumberFormat="1" applyFont="1" applyBorder="1" applyAlignment="1">
      <alignment vertical="center" wrapText="1"/>
    </xf>
    <xf numFmtId="190" fontId="43" fillId="0" borderId="0" xfId="0" applyNumberFormat="1" applyFont="1" applyBorder="1" applyAlignment="1"/>
    <xf numFmtId="190" fontId="43" fillId="0" borderId="0" xfId="0" applyNumberFormat="1" applyFont="1" applyAlignment="1"/>
    <xf numFmtId="0" fontId="43" fillId="0" borderId="63" xfId="0" applyFont="1" applyFill="1" applyBorder="1" applyAlignment="1" applyProtection="1">
      <alignment vertical="center"/>
      <protection locked="0"/>
    </xf>
    <xf numFmtId="184" fontId="43" fillId="0" borderId="14" xfId="0" applyNumberFormat="1" applyFont="1" applyFill="1" applyBorder="1" applyAlignment="1" applyProtection="1">
      <alignment vertical="center"/>
      <protection hidden="1"/>
    </xf>
    <xf numFmtId="179" fontId="43" fillId="24" borderId="55" xfId="0" applyNumberFormat="1" applyFont="1" applyFill="1" applyBorder="1" applyAlignment="1" applyProtection="1">
      <alignment horizontal="center" vertical="center"/>
      <protection locked="0"/>
    </xf>
    <xf numFmtId="0" fontId="49" fillId="30" borderId="45" xfId="0" applyFont="1" applyFill="1" applyBorder="1" applyAlignment="1">
      <alignment horizontal="center" vertical="center"/>
    </xf>
    <xf numFmtId="181" fontId="43" fillId="0" borderId="32" xfId="0" applyNumberFormat="1" applyFont="1" applyBorder="1" applyAlignment="1" applyProtection="1">
      <alignment vertical="center"/>
      <protection hidden="1"/>
    </xf>
    <xf numFmtId="181" fontId="43" fillId="0" borderId="44" xfId="0" applyNumberFormat="1" applyFont="1" applyBorder="1" applyAlignment="1" applyProtection="1">
      <alignment vertical="center"/>
      <protection hidden="1"/>
    </xf>
    <xf numFmtId="181" fontId="43" fillId="0" borderId="32" xfId="0" applyNumberFormat="1" applyFont="1" applyFill="1" applyBorder="1" applyAlignment="1" applyProtection="1">
      <alignment vertical="center"/>
      <protection hidden="1"/>
    </xf>
    <xf numFmtId="181" fontId="43" fillId="0" borderId="34" xfId="0" applyNumberFormat="1" applyFont="1" applyBorder="1" applyAlignment="1" applyProtection="1">
      <alignment vertical="center"/>
      <protection hidden="1"/>
    </xf>
    <xf numFmtId="181" fontId="43" fillId="0" borderId="22" xfId="0" applyNumberFormat="1" applyFont="1" applyBorder="1" applyAlignment="1" applyProtection="1">
      <alignment vertical="center"/>
      <protection hidden="1"/>
    </xf>
    <xf numFmtId="0" fontId="50" fillId="0" borderId="61" xfId="0" applyFont="1" applyBorder="1" applyAlignment="1">
      <alignment vertical="center"/>
    </xf>
    <xf numFmtId="0" fontId="43" fillId="0" borderId="73" xfId="0" applyFont="1" applyBorder="1" applyAlignment="1">
      <alignment horizontal="center" vertical="center"/>
    </xf>
    <xf numFmtId="0" fontId="43" fillId="0" borderId="48" xfId="0" applyFont="1" applyFill="1" applyBorder="1" applyAlignment="1">
      <alignment horizontal="center" vertical="center"/>
    </xf>
    <xf numFmtId="189" fontId="43" fillId="0" borderId="13" xfId="0" applyNumberFormat="1" applyFont="1" applyBorder="1" applyAlignment="1">
      <alignment horizontal="right" vertical="center"/>
    </xf>
    <xf numFmtId="189" fontId="43" fillId="0" borderId="26" xfId="0" applyNumberFormat="1" applyFont="1" applyBorder="1" applyAlignment="1">
      <alignment horizontal="right" vertical="center"/>
    </xf>
    <xf numFmtId="189" fontId="43" fillId="0" borderId="31" xfId="0" applyNumberFormat="1" applyFont="1" applyBorder="1" applyAlignment="1">
      <alignment horizontal="right" vertical="center"/>
    </xf>
    <xf numFmtId="38" fontId="43" fillId="0" borderId="31" xfId="33" applyNumberFormat="1" applyFont="1" applyBorder="1" applyAlignment="1" applyProtection="1">
      <alignment vertical="center"/>
      <protection locked="0"/>
    </xf>
    <xf numFmtId="179" fontId="34" fillId="0" borderId="32" xfId="0" applyNumberFormat="1" applyFont="1" applyFill="1" applyBorder="1" applyAlignment="1">
      <alignment horizontal="center" vertical="center"/>
    </xf>
    <xf numFmtId="179" fontId="34" fillId="29" borderId="32" xfId="0" applyNumberFormat="1" applyFont="1" applyFill="1" applyBorder="1" applyAlignment="1">
      <alignment horizontal="center" vertical="center"/>
    </xf>
    <xf numFmtId="179" fontId="34" fillId="29" borderId="24" xfId="0" applyNumberFormat="1" applyFont="1" applyFill="1" applyBorder="1" applyAlignment="1">
      <alignment horizontal="center" vertical="center"/>
    </xf>
    <xf numFmtId="179" fontId="34" fillId="29" borderId="65" xfId="0" applyNumberFormat="1" applyFont="1" applyFill="1" applyBorder="1" applyAlignment="1">
      <alignment horizontal="center" vertical="center"/>
    </xf>
    <xf numFmtId="190" fontId="43" fillId="0" borderId="65" xfId="0" applyNumberFormat="1" applyFont="1" applyBorder="1" applyAlignment="1">
      <alignment vertical="center"/>
    </xf>
    <xf numFmtId="190" fontId="43" fillId="0" borderId="65" xfId="0" applyNumberFormat="1" applyFont="1" applyBorder="1" applyAlignment="1">
      <alignment vertical="center" wrapText="1"/>
    </xf>
    <xf numFmtId="189" fontId="43" fillId="0" borderId="22" xfId="0" applyNumberFormat="1" applyFont="1" applyBorder="1" applyAlignment="1">
      <alignment horizontal="right" vertical="center"/>
    </xf>
    <xf numFmtId="189" fontId="43" fillId="0" borderId="28" xfId="0" applyNumberFormat="1" applyFont="1" applyBorder="1" applyAlignment="1">
      <alignment horizontal="right" vertical="center"/>
    </xf>
    <xf numFmtId="189" fontId="43" fillId="0" borderId="18" xfId="0" applyNumberFormat="1" applyFont="1" applyBorder="1" applyAlignment="1">
      <alignment horizontal="right" vertical="center"/>
    </xf>
    <xf numFmtId="0" fontId="43" fillId="0" borderId="13" xfId="0" applyNumberFormat="1" applyFont="1" applyBorder="1" applyAlignment="1">
      <alignment horizontal="right" vertical="center"/>
    </xf>
    <xf numFmtId="0" fontId="43" fillId="0" borderId="26" xfId="0" applyNumberFormat="1" applyFont="1" applyBorder="1" applyAlignment="1">
      <alignment horizontal="right" vertical="center"/>
    </xf>
    <xf numFmtId="0" fontId="43" fillId="0" borderId="48" xfId="0" applyNumberFormat="1" applyFont="1" applyBorder="1" applyAlignment="1">
      <alignment horizontal="right" vertical="center"/>
    </xf>
    <xf numFmtId="0" fontId="43" fillId="0" borderId="22" xfId="0" applyNumberFormat="1" applyFont="1" applyBorder="1" applyAlignment="1">
      <alignment horizontal="right" vertical="center"/>
    </xf>
    <xf numFmtId="0" fontId="43" fillId="0" borderId="28" xfId="0" applyNumberFormat="1" applyFont="1" applyBorder="1" applyAlignment="1">
      <alignment horizontal="right" vertical="center"/>
    </xf>
    <xf numFmtId="0" fontId="43" fillId="0" borderId="18" xfId="0" applyNumberFormat="1" applyFont="1" applyBorder="1" applyAlignment="1">
      <alignment horizontal="right" vertical="center"/>
    </xf>
    <xf numFmtId="0" fontId="49" fillId="29" borderId="45" xfId="0" applyFont="1" applyFill="1" applyBorder="1" applyAlignment="1">
      <alignment horizontal="center" vertical="center"/>
    </xf>
    <xf numFmtId="0" fontId="43" fillId="0" borderId="29" xfId="0" applyFont="1" applyFill="1" applyBorder="1" applyAlignment="1" applyProtection="1">
      <alignment vertical="center"/>
      <protection locked="0"/>
    </xf>
    <xf numFmtId="0" fontId="43" fillId="0" borderId="22" xfId="0" applyFont="1" applyFill="1" applyBorder="1" applyAlignment="1" applyProtection="1">
      <alignment vertical="center"/>
      <protection locked="0"/>
    </xf>
    <xf numFmtId="0" fontId="43" fillId="0" borderId="18" xfId="0" applyFont="1" applyFill="1" applyBorder="1" applyAlignment="1" applyProtection="1">
      <alignment vertical="center"/>
      <protection locked="0"/>
    </xf>
    <xf numFmtId="0" fontId="43" fillId="0" borderId="32" xfId="0" applyFont="1" applyFill="1" applyBorder="1" applyAlignment="1" applyProtection="1">
      <alignment vertical="center"/>
      <protection locked="0"/>
    </xf>
    <xf numFmtId="38" fontId="43" fillId="0" borderId="29" xfId="33" applyNumberFormat="1" applyFont="1" applyFill="1" applyBorder="1" applyAlignment="1" applyProtection="1">
      <alignment vertical="center"/>
      <protection locked="0"/>
    </xf>
    <xf numFmtId="186" fontId="43" fillId="0" borderId="28" xfId="33" applyNumberFormat="1" applyFont="1" applyBorder="1" applyAlignment="1" applyProtection="1">
      <alignment vertical="center"/>
      <protection hidden="1"/>
    </xf>
    <xf numFmtId="186" fontId="43" fillId="0" borderId="44" xfId="33" applyNumberFormat="1" applyFont="1" applyBorder="1" applyAlignment="1" applyProtection="1">
      <alignment vertical="center"/>
      <protection hidden="1"/>
    </xf>
    <xf numFmtId="186" fontId="43" fillId="0" borderId="32" xfId="33" applyNumberFormat="1" applyFont="1" applyBorder="1" applyAlignment="1" applyProtection="1">
      <alignment vertical="center"/>
      <protection hidden="1"/>
    </xf>
    <xf numFmtId="186" fontId="43" fillId="0" borderId="22" xfId="33" applyNumberFormat="1" applyFont="1" applyBorder="1" applyAlignment="1" applyProtection="1">
      <alignment vertical="center"/>
      <protection hidden="1"/>
    </xf>
    <xf numFmtId="0" fontId="34" fillId="0" borderId="0" xfId="0" applyFont="1" applyAlignment="1">
      <alignment vertical="center"/>
    </xf>
    <xf numFmtId="14" fontId="34" fillId="0" borderId="66" xfId="0" applyNumberFormat="1" applyFont="1" applyBorder="1" applyAlignment="1">
      <alignment vertical="center"/>
    </xf>
    <xf numFmtId="178" fontId="34" fillId="0" borderId="66" xfId="0" applyNumberFormat="1" applyFont="1" applyBorder="1" applyAlignment="1">
      <alignment vertical="center"/>
    </xf>
    <xf numFmtId="0" fontId="34" fillId="0" borderId="66" xfId="0" applyFont="1" applyBorder="1" applyAlignment="1">
      <alignment vertical="center"/>
    </xf>
    <xf numFmtId="0" fontId="34" fillId="0" borderId="66" xfId="0" applyFont="1" applyFill="1" applyBorder="1" applyAlignment="1">
      <alignment vertical="center"/>
    </xf>
    <xf numFmtId="191" fontId="34" fillId="0" borderId="0" xfId="0" applyNumberFormat="1" applyFont="1" applyFill="1" applyAlignment="1">
      <alignment vertical="center"/>
    </xf>
    <xf numFmtId="0" fontId="34" fillId="0" borderId="0" xfId="0" applyFont="1" applyBorder="1" applyAlignment="1">
      <alignment vertical="center"/>
    </xf>
    <xf numFmtId="0" fontId="34" fillId="0" borderId="65" xfId="0" applyFont="1" applyBorder="1" applyAlignment="1">
      <alignment vertical="center"/>
    </xf>
    <xf numFmtId="190" fontId="34" fillId="0" borderId="65" xfId="0" applyNumberFormat="1" applyFont="1" applyBorder="1" applyAlignment="1">
      <alignment vertical="center"/>
    </xf>
    <xf numFmtId="191" fontId="34" fillId="0" borderId="66" xfId="0" applyNumberFormat="1" applyFont="1" applyBorder="1" applyAlignment="1">
      <alignment vertical="center"/>
    </xf>
    <xf numFmtId="191" fontId="34" fillId="0" borderId="0" xfId="0" applyNumberFormat="1" applyFont="1" applyBorder="1" applyAlignment="1">
      <alignment vertical="center"/>
    </xf>
    <xf numFmtId="190" fontId="34" fillId="0" borderId="0" xfId="0" applyNumberFormat="1" applyFont="1" applyBorder="1" applyAlignment="1">
      <alignment vertical="center"/>
    </xf>
    <xf numFmtId="191" fontId="34" fillId="0" borderId="65" xfId="0" applyNumberFormat="1" applyFont="1" applyBorder="1" applyAlignment="1">
      <alignment vertical="center"/>
    </xf>
    <xf numFmtId="191" fontId="34" fillId="0" borderId="0" xfId="0" applyNumberFormat="1" applyFont="1" applyAlignment="1">
      <alignment vertical="center"/>
    </xf>
    <xf numFmtId="190" fontId="34" fillId="0" borderId="0" xfId="0" applyNumberFormat="1" applyFont="1" applyAlignment="1">
      <alignment vertical="center"/>
    </xf>
    <xf numFmtId="178" fontId="34" fillId="0" borderId="0" xfId="0" applyNumberFormat="1" applyFont="1" applyBorder="1" applyAlignment="1">
      <alignment vertical="center"/>
    </xf>
    <xf numFmtId="190" fontId="34" fillId="0" borderId="66" xfId="0" applyNumberFormat="1" applyFont="1" applyBorder="1" applyAlignment="1">
      <alignment vertical="center"/>
    </xf>
    <xf numFmtId="190" fontId="36" fillId="0" borderId="65" xfId="0" applyNumberFormat="1" applyFont="1" applyBorder="1" applyAlignment="1">
      <alignment vertical="center"/>
    </xf>
    <xf numFmtId="178" fontId="34" fillId="0" borderId="0" xfId="0" applyNumberFormat="1" applyFont="1" applyAlignment="1">
      <alignment vertical="center"/>
    </xf>
    <xf numFmtId="178" fontId="34" fillId="0" borderId="65" xfId="0" applyNumberFormat="1" applyFont="1" applyBorder="1" applyAlignment="1">
      <alignment vertical="center"/>
    </xf>
    <xf numFmtId="190" fontId="36" fillId="0" borderId="0" xfId="0" applyNumberFormat="1" applyFont="1" applyAlignment="1">
      <alignment vertical="center"/>
    </xf>
    <xf numFmtId="0" fontId="37" fillId="0" borderId="0" xfId="0" applyFont="1" applyFill="1" applyBorder="1" applyAlignment="1">
      <alignment vertical="center"/>
    </xf>
    <xf numFmtId="0" fontId="0" fillId="0" borderId="0" xfId="0" applyFill="1" applyBorder="1" applyAlignment="1">
      <alignment vertical="center"/>
    </xf>
    <xf numFmtId="0" fontId="0" fillId="0" borderId="0" xfId="0" applyFill="1" applyBorder="1"/>
    <xf numFmtId="190" fontId="54" fillId="0" borderId="65" xfId="0" applyNumberFormat="1" applyFont="1" applyBorder="1" applyAlignment="1">
      <alignment vertical="center"/>
    </xf>
    <xf numFmtId="14" fontId="34" fillId="0" borderId="0" xfId="0" applyNumberFormat="1" applyFont="1" applyBorder="1" applyAlignment="1">
      <alignment vertical="center"/>
    </xf>
    <xf numFmtId="14" fontId="34" fillId="0" borderId="65" xfId="0" applyNumberFormat="1" applyFont="1" applyBorder="1" applyAlignment="1">
      <alignment vertical="center"/>
    </xf>
    <xf numFmtId="0" fontId="43" fillId="32" borderId="28" xfId="0" applyNumberFormat="1" applyFont="1" applyFill="1" applyBorder="1" applyAlignment="1" applyProtection="1">
      <alignment vertical="center"/>
      <protection locked="0"/>
    </xf>
    <xf numFmtId="0" fontId="43" fillId="32" borderId="29" xfId="0" applyNumberFormat="1" applyFont="1" applyFill="1" applyBorder="1" applyAlignment="1" applyProtection="1">
      <alignment vertical="center"/>
      <protection locked="0"/>
    </xf>
    <xf numFmtId="0" fontId="43" fillId="32" borderId="22" xfId="0" applyNumberFormat="1" applyFont="1" applyFill="1" applyBorder="1" applyAlignment="1" applyProtection="1">
      <alignment vertical="center"/>
      <protection locked="0"/>
    </xf>
    <xf numFmtId="0" fontId="43" fillId="32" borderId="18" xfId="0" applyNumberFormat="1" applyFont="1" applyFill="1" applyBorder="1" applyAlignment="1" applyProtection="1">
      <alignment vertical="center"/>
      <protection locked="0"/>
    </xf>
    <xf numFmtId="0" fontId="43" fillId="32" borderId="32" xfId="0" applyNumberFormat="1" applyFont="1" applyFill="1" applyBorder="1" applyAlignment="1" applyProtection="1">
      <alignment vertical="center"/>
      <protection locked="0"/>
    </xf>
    <xf numFmtId="0" fontId="43" fillId="32" borderId="29" xfId="33" applyNumberFormat="1" applyFont="1" applyFill="1" applyBorder="1" applyAlignment="1" applyProtection="1">
      <alignment vertical="center"/>
      <protection locked="0"/>
    </xf>
    <xf numFmtId="0" fontId="43" fillId="32" borderId="28" xfId="0" applyNumberFormat="1" applyFont="1" applyFill="1" applyBorder="1" applyAlignment="1" applyProtection="1">
      <alignment vertical="center"/>
      <protection hidden="1"/>
    </xf>
    <xf numFmtId="0" fontId="43" fillId="32" borderId="32" xfId="0" applyNumberFormat="1" applyFont="1" applyFill="1" applyBorder="1" applyAlignment="1" applyProtection="1">
      <alignment vertical="center"/>
      <protection hidden="1"/>
    </xf>
    <xf numFmtId="0" fontId="43" fillId="32" borderId="18" xfId="0" applyNumberFormat="1" applyFont="1" applyFill="1" applyBorder="1" applyAlignment="1" applyProtection="1">
      <alignment vertical="center"/>
      <protection hidden="1"/>
    </xf>
    <xf numFmtId="14" fontId="34" fillId="0" borderId="0" xfId="0" applyNumberFormat="1" applyFont="1" applyAlignment="1">
      <alignment vertical="center"/>
    </xf>
    <xf numFmtId="177" fontId="34" fillId="0" borderId="0" xfId="0" applyNumberFormat="1" applyFont="1" applyAlignment="1">
      <alignment vertical="center"/>
    </xf>
    <xf numFmtId="183" fontId="43" fillId="0" borderId="0" xfId="0" applyNumberFormat="1" applyFont="1"/>
    <xf numFmtId="183" fontId="0" fillId="0" borderId="0" xfId="0" applyNumberFormat="1" applyFont="1" applyAlignment="1">
      <alignment vertical="center"/>
    </xf>
    <xf numFmtId="181" fontId="0" fillId="0" borderId="0" xfId="0" applyNumberFormat="1" applyFont="1" applyAlignment="1">
      <alignment vertical="center"/>
    </xf>
    <xf numFmtId="40" fontId="43" fillId="0" borderId="0" xfId="0" applyNumberFormat="1" applyFont="1"/>
    <xf numFmtId="179" fontId="34" fillId="34" borderId="22" xfId="0" applyNumberFormat="1" applyFont="1" applyFill="1" applyBorder="1" applyAlignment="1">
      <alignment horizontal="center" vertical="center"/>
    </xf>
    <xf numFmtId="179" fontId="34" fillId="29" borderId="15" xfId="0" applyNumberFormat="1" applyFont="1" applyFill="1" applyBorder="1" applyAlignment="1">
      <alignment horizontal="center" vertical="center"/>
    </xf>
    <xf numFmtId="2" fontId="43" fillId="0" borderId="32" xfId="0" applyNumberFormat="1" applyFont="1" applyBorder="1"/>
    <xf numFmtId="2" fontId="43" fillId="0" borderId="28" xfId="0" applyNumberFormat="1" applyFont="1" applyBorder="1"/>
    <xf numFmtId="2" fontId="43" fillId="0" borderId="18" xfId="0" applyNumberFormat="1" applyFont="1" applyBorder="1"/>
    <xf numFmtId="2" fontId="43" fillId="0" borderId="29" xfId="0" applyNumberFormat="1" applyFont="1" applyBorder="1"/>
    <xf numFmtId="2" fontId="43" fillId="0" borderId="22" xfId="0" applyNumberFormat="1" applyFont="1" applyBorder="1"/>
    <xf numFmtId="0" fontId="43" fillId="34" borderId="18" xfId="0" applyFont="1" applyFill="1" applyBorder="1" applyAlignment="1">
      <alignment horizontal="center" vertical="center"/>
    </xf>
    <xf numFmtId="0" fontId="43" fillId="0" borderId="55" xfId="0" applyFont="1" applyFill="1" applyBorder="1" applyAlignment="1">
      <alignment vertical="center"/>
    </xf>
    <xf numFmtId="0" fontId="43" fillId="0" borderId="63" xfId="0" applyFont="1" applyFill="1" applyBorder="1" applyAlignment="1">
      <alignment vertical="center"/>
    </xf>
    <xf numFmtId="0" fontId="43" fillId="0" borderId="64" xfId="0" applyFont="1" applyFill="1" applyBorder="1" applyAlignment="1">
      <alignment vertical="center"/>
    </xf>
    <xf numFmtId="0" fontId="43" fillId="0" borderId="55" xfId="0" applyFont="1" applyFill="1" applyBorder="1" applyAlignment="1" applyProtection="1">
      <alignment vertical="center"/>
      <protection locked="0"/>
    </xf>
    <xf numFmtId="0" fontId="43" fillId="0" borderId="66" xfId="0" applyFont="1" applyFill="1" applyBorder="1" applyAlignment="1" applyProtection="1">
      <alignment vertical="center"/>
      <protection locked="0"/>
    </xf>
    <xf numFmtId="0" fontId="43" fillId="0" borderId="64" xfId="0" applyFont="1" applyFill="1" applyBorder="1" applyAlignment="1" applyProtection="1">
      <alignment vertical="center"/>
      <protection locked="0"/>
    </xf>
    <xf numFmtId="0" fontId="43" fillId="0" borderId="65" xfId="0" applyFont="1" applyFill="1" applyBorder="1" applyAlignment="1" applyProtection="1">
      <alignment vertical="center"/>
      <protection locked="0"/>
    </xf>
    <xf numFmtId="0" fontId="43" fillId="0" borderId="0" xfId="0" applyFont="1" applyFill="1" applyBorder="1" applyAlignment="1" applyProtection="1">
      <alignment vertical="center"/>
      <protection locked="0"/>
    </xf>
    <xf numFmtId="179" fontId="34" fillId="34" borderId="32" xfId="0" applyNumberFormat="1" applyFont="1" applyFill="1" applyBorder="1" applyAlignment="1">
      <alignment horizontal="center" vertical="center"/>
    </xf>
    <xf numFmtId="189" fontId="43" fillId="0" borderId="13" xfId="0" applyNumberFormat="1" applyFont="1" applyFill="1" applyBorder="1" applyAlignment="1">
      <alignment horizontal="right" vertical="center"/>
    </xf>
    <xf numFmtId="189" fontId="43" fillId="0" borderId="26" xfId="0" applyNumberFormat="1" applyFont="1" applyFill="1" applyBorder="1" applyAlignment="1">
      <alignment horizontal="right" vertical="center"/>
    </xf>
    <xf numFmtId="189" fontId="43" fillId="0" borderId="31" xfId="0" applyNumberFormat="1" applyFont="1" applyFill="1" applyBorder="1" applyAlignment="1">
      <alignment horizontal="right" vertical="center"/>
    </xf>
    <xf numFmtId="0" fontId="43" fillId="0" borderId="24" xfId="0" applyFont="1" applyFill="1" applyBorder="1" applyAlignment="1" applyProtection="1">
      <alignment vertical="center"/>
      <protection locked="0"/>
    </xf>
    <xf numFmtId="0" fontId="43" fillId="0" borderId="26" xfId="0" applyFont="1" applyFill="1" applyBorder="1" applyAlignment="1" applyProtection="1">
      <alignment vertical="center"/>
      <protection locked="0"/>
    </xf>
    <xf numFmtId="0" fontId="43" fillId="0" borderId="31" xfId="0" applyFont="1" applyFill="1" applyBorder="1" applyAlignment="1" applyProtection="1">
      <alignment vertical="center"/>
      <protection locked="0"/>
    </xf>
    <xf numFmtId="38" fontId="43" fillId="0" borderId="31" xfId="33" applyNumberFormat="1" applyFont="1" applyFill="1" applyBorder="1" applyAlignment="1" applyProtection="1">
      <alignment vertical="center"/>
      <protection locked="0"/>
    </xf>
    <xf numFmtId="0" fontId="43" fillId="0" borderId="48" xfId="0" applyFont="1" applyFill="1" applyBorder="1" applyAlignment="1" applyProtection="1">
      <alignment vertical="center"/>
      <protection locked="0"/>
    </xf>
    <xf numFmtId="0" fontId="43" fillId="0" borderId="13" xfId="0" applyFont="1" applyFill="1" applyBorder="1" applyAlignment="1" applyProtection="1">
      <alignment vertical="center"/>
      <protection locked="0"/>
    </xf>
    <xf numFmtId="0" fontId="43" fillId="0" borderId="13" xfId="0" applyNumberFormat="1" applyFont="1" applyFill="1" applyBorder="1" applyAlignment="1">
      <alignment horizontal="right" vertical="center"/>
    </xf>
    <xf numFmtId="0" fontId="43" fillId="0" borderId="26" xfId="0" applyNumberFormat="1" applyFont="1" applyFill="1" applyBorder="1" applyAlignment="1">
      <alignment horizontal="right" vertical="center"/>
    </xf>
    <xf numFmtId="0" fontId="43" fillId="0" borderId="48" xfId="0" applyNumberFormat="1" applyFont="1" applyFill="1" applyBorder="1" applyAlignment="1">
      <alignment horizontal="right" vertical="center"/>
    </xf>
    <xf numFmtId="0" fontId="43" fillId="0" borderId="48" xfId="33" applyNumberFormat="1" applyFont="1" applyFill="1" applyBorder="1" applyAlignment="1" applyProtection="1">
      <alignment vertical="center"/>
      <protection locked="0"/>
    </xf>
    <xf numFmtId="0" fontId="43" fillId="0" borderId="13" xfId="0" applyNumberFormat="1" applyFont="1" applyFill="1" applyBorder="1" applyAlignment="1" applyProtection="1">
      <alignment vertical="center"/>
      <protection locked="0"/>
    </xf>
    <xf numFmtId="0" fontId="43" fillId="0" borderId="26" xfId="0" applyNumberFormat="1" applyFont="1" applyFill="1" applyBorder="1" applyAlignment="1" applyProtection="1">
      <alignment vertical="center"/>
      <protection locked="0"/>
    </xf>
    <xf numFmtId="0" fontId="43" fillId="0" borderId="48" xfId="0" applyNumberFormat="1" applyFont="1" applyFill="1" applyBorder="1" applyAlignment="1" applyProtection="1">
      <alignment vertical="center"/>
      <protection locked="0"/>
    </xf>
    <xf numFmtId="40" fontId="43" fillId="0" borderId="65" xfId="33" applyNumberFormat="1" applyFont="1" applyBorder="1" applyAlignment="1" applyProtection="1">
      <alignment vertical="center"/>
      <protection hidden="1"/>
    </xf>
    <xf numFmtId="186" fontId="43" fillId="0" borderId="65" xfId="33" applyNumberFormat="1" applyFont="1" applyBorder="1" applyAlignment="1" applyProtection="1">
      <alignment vertical="center"/>
      <protection hidden="1"/>
    </xf>
    <xf numFmtId="186" fontId="43" fillId="0" borderId="11" xfId="33" applyNumberFormat="1" applyFont="1" applyBorder="1" applyAlignment="1" applyProtection="1">
      <alignment vertical="center"/>
      <protection hidden="1"/>
    </xf>
    <xf numFmtId="40" fontId="43" fillId="0" borderId="11" xfId="33" applyNumberFormat="1" applyFont="1" applyBorder="1" applyAlignment="1" applyProtection="1">
      <alignment vertical="center"/>
      <protection hidden="1"/>
    </xf>
    <xf numFmtId="0" fontId="43" fillId="0" borderId="26" xfId="33" applyNumberFormat="1" applyFont="1" applyBorder="1" applyAlignment="1" applyProtection="1">
      <alignment vertical="center"/>
      <protection hidden="1"/>
    </xf>
    <xf numFmtId="186" fontId="43" fillId="0" borderId="63" xfId="33" applyNumberFormat="1" applyFont="1" applyBorder="1" applyAlignment="1" applyProtection="1">
      <alignment vertical="center"/>
      <protection hidden="1"/>
    </xf>
    <xf numFmtId="186" fontId="43" fillId="0" borderId="55" xfId="33" applyNumberFormat="1" applyFont="1" applyBorder="1" applyAlignment="1" applyProtection="1">
      <alignment vertical="center"/>
      <protection hidden="1"/>
    </xf>
    <xf numFmtId="0" fontId="43" fillId="34" borderId="44" xfId="0" applyFont="1" applyFill="1" applyBorder="1" applyAlignment="1">
      <alignment horizontal="center" vertical="center"/>
    </xf>
    <xf numFmtId="0" fontId="43" fillId="0" borderId="29" xfId="33" applyNumberFormat="1" applyFont="1" applyFill="1" applyBorder="1" applyAlignment="1" applyProtection="1">
      <alignment vertical="center"/>
      <protection locked="0"/>
    </xf>
    <xf numFmtId="38" fontId="43" fillId="0" borderId="50" xfId="33" applyFont="1" applyBorder="1"/>
    <xf numFmtId="38" fontId="43" fillId="0" borderId="51" xfId="33" applyFont="1" applyBorder="1"/>
    <xf numFmtId="38" fontId="43" fillId="0" borderId="47" xfId="33" applyFont="1" applyBorder="1"/>
    <xf numFmtId="181" fontId="43" fillId="25" borderId="77" xfId="0" applyNumberFormat="1" applyFont="1" applyFill="1" applyBorder="1" applyAlignment="1" applyProtection="1">
      <alignment vertical="center"/>
      <protection hidden="1"/>
    </xf>
    <xf numFmtId="184" fontId="43" fillId="0" borderId="70" xfId="0" applyNumberFormat="1" applyFont="1" applyFill="1" applyBorder="1" applyAlignment="1" applyProtection="1">
      <alignment vertical="center"/>
      <protection hidden="1"/>
    </xf>
    <xf numFmtId="181" fontId="43" fillId="25" borderId="66" xfId="0" applyNumberFormat="1" applyFont="1" applyFill="1" applyBorder="1" applyAlignment="1" applyProtection="1">
      <alignment vertical="center"/>
      <protection hidden="1"/>
    </xf>
    <xf numFmtId="190" fontId="43" fillId="0" borderId="66" xfId="0" applyNumberFormat="1" applyFont="1" applyBorder="1" applyAlignment="1">
      <alignment horizontal="right" vertical="center"/>
    </xf>
    <xf numFmtId="190" fontId="43" fillId="0" borderId="0" xfId="0" applyNumberFormat="1" applyFont="1" applyBorder="1"/>
    <xf numFmtId="190" fontId="43" fillId="35" borderId="0" xfId="0" applyNumberFormat="1" applyFont="1" applyFill="1" applyAlignment="1">
      <alignment vertical="center"/>
    </xf>
    <xf numFmtId="190" fontId="54" fillId="0" borderId="0" xfId="0" applyNumberFormat="1" applyFont="1" applyAlignment="1">
      <alignment vertical="center"/>
    </xf>
    <xf numFmtId="190" fontId="43" fillId="0" borderId="0" xfId="0" applyNumberFormat="1" applyFont="1"/>
    <xf numFmtId="40" fontId="43" fillId="0" borderId="0" xfId="0" applyNumberFormat="1" applyFont="1" applyFill="1" applyBorder="1"/>
    <xf numFmtId="14" fontId="34" fillId="0" borderId="0" xfId="0" applyNumberFormat="1" applyFont="1" applyAlignment="1">
      <alignment horizontal="center" vertical="center"/>
    </xf>
    <xf numFmtId="0" fontId="35" fillId="0" borderId="0" xfId="0" applyFont="1" applyAlignment="1">
      <alignment vertical="center"/>
    </xf>
    <xf numFmtId="0" fontId="10" fillId="0" borderId="0" xfId="0" applyFont="1"/>
    <xf numFmtId="0" fontId="43" fillId="0" borderId="0" xfId="0" applyFont="1" applyAlignment="1">
      <alignment wrapText="1"/>
    </xf>
    <xf numFmtId="0" fontId="43" fillId="32" borderId="78" xfId="0" applyNumberFormat="1" applyFont="1" applyFill="1" applyBorder="1"/>
    <xf numFmtId="0" fontId="43" fillId="32" borderId="77" xfId="0" applyNumberFormat="1" applyFont="1" applyFill="1" applyBorder="1"/>
    <xf numFmtId="0" fontId="43" fillId="34" borderId="64" xfId="0" applyFont="1" applyFill="1" applyBorder="1" applyAlignment="1">
      <alignment horizontal="center" vertical="center"/>
    </xf>
    <xf numFmtId="0" fontId="43" fillId="34" borderId="55" xfId="0" applyNumberFormat="1" applyFont="1" applyFill="1" applyBorder="1"/>
    <xf numFmtId="0" fontId="43" fillId="34" borderId="63" xfId="0" applyNumberFormat="1" applyFont="1" applyFill="1" applyBorder="1"/>
    <xf numFmtId="0" fontId="43" fillId="34" borderId="64" xfId="0" applyNumberFormat="1" applyFont="1" applyFill="1" applyBorder="1"/>
    <xf numFmtId="0" fontId="43" fillId="34" borderId="65" xfId="0" applyNumberFormat="1" applyFont="1" applyFill="1" applyBorder="1"/>
    <xf numFmtId="0" fontId="43" fillId="34" borderId="66" xfId="0" applyNumberFormat="1" applyFont="1" applyFill="1" applyBorder="1"/>
    <xf numFmtId="0" fontId="43" fillId="34" borderId="31" xfId="0" applyNumberFormat="1" applyFont="1" applyFill="1" applyBorder="1"/>
    <xf numFmtId="0" fontId="43" fillId="34" borderId="22" xfId="0" applyNumberFormat="1" applyFont="1" applyFill="1" applyBorder="1"/>
    <xf numFmtId="0" fontId="43" fillId="34" borderId="28" xfId="0" applyNumberFormat="1" applyFont="1" applyFill="1" applyBorder="1"/>
    <xf numFmtId="0" fontId="43" fillId="34" borderId="18" xfId="0" applyNumberFormat="1" applyFont="1" applyFill="1" applyBorder="1"/>
    <xf numFmtId="0" fontId="43" fillId="34" borderId="32" xfId="0" applyNumberFormat="1" applyFont="1" applyFill="1" applyBorder="1"/>
    <xf numFmtId="0" fontId="43" fillId="34" borderId="29" xfId="0" applyNumberFormat="1" applyFont="1" applyFill="1" applyBorder="1"/>
    <xf numFmtId="2" fontId="43" fillId="34" borderId="65" xfId="0" applyNumberFormat="1" applyFont="1" applyFill="1" applyBorder="1"/>
    <xf numFmtId="2" fontId="43" fillId="34" borderId="63" xfId="0" applyNumberFormat="1" applyFont="1" applyFill="1" applyBorder="1"/>
    <xf numFmtId="2" fontId="43" fillId="34" borderId="64" xfId="0" applyNumberFormat="1" applyFont="1" applyFill="1" applyBorder="1"/>
    <xf numFmtId="2" fontId="43" fillId="34" borderId="66" xfId="0" applyNumberFormat="1" applyFont="1" applyFill="1" applyBorder="1"/>
    <xf numFmtId="2" fontId="43" fillId="34" borderId="55" xfId="0" applyNumberFormat="1" applyFont="1" applyFill="1" applyBorder="1"/>
    <xf numFmtId="2" fontId="43" fillId="32" borderId="78" xfId="0" applyNumberFormat="1" applyFont="1" applyFill="1" applyBorder="1"/>
    <xf numFmtId="2" fontId="43" fillId="32" borderId="74" xfId="0" applyNumberFormat="1" applyFont="1" applyFill="1" applyBorder="1"/>
    <xf numFmtId="2" fontId="43" fillId="32" borderId="75" xfId="0" applyNumberFormat="1" applyFont="1" applyFill="1" applyBorder="1"/>
    <xf numFmtId="2" fontId="43" fillId="32" borderId="77" xfId="0" applyNumberFormat="1" applyFont="1" applyFill="1" applyBorder="1"/>
    <xf numFmtId="2" fontId="43" fillId="32" borderId="15" xfId="0" applyNumberFormat="1" applyFont="1" applyFill="1" applyBorder="1"/>
    <xf numFmtId="2" fontId="43" fillId="34" borderId="32" xfId="0" applyNumberFormat="1" applyFont="1" applyFill="1" applyBorder="1"/>
    <xf numFmtId="2" fontId="43" fillId="34" borderId="28" xfId="0" applyNumberFormat="1" applyFont="1" applyFill="1" applyBorder="1"/>
    <xf numFmtId="2" fontId="43" fillId="34" borderId="18" xfId="0" applyNumberFormat="1" applyFont="1" applyFill="1" applyBorder="1"/>
    <xf numFmtId="2" fontId="43" fillId="34" borderId="29" xfId="0" applyNumberFormat="1" applyFont="1" applyFill="1" applyBorder="1"/>
    <xf numFmtId="2" fontId="43" fillId="34" borderId="22" xfId="0" applyNumberFormat="1" applyFont="1" applyFill="1" applyBorder="1"/>
    <xf numFmtId="0" fontId="43" fillId="34" borderId="31" xfId="0" applyFont="1" applyFill="1" applyBorder="1" applyAlignment="1">
      <alignment horizontal="center" vertical="center"/>
    </xf>
    <xf numFmtId="0" fontId="43" fillId="34" borderId="13" xfId="0" applyFont="1" applyFill="1" applyBorder="1" applyAlignment="1">
      <alignment vertical="center"/>
    </xf>
    <xf numFmtId="0" fontId="43" fillId="34" borderId="26" xfId="0" applyFont="1" applyFill="1" applyBorder="1" applyAlignment="1">
      <alignment vertical="center"/>
    </xf>
    <xf numFmtId="0" fontId="43" fillId="34" borderId="31" xfId="0" applyFont="1" applyFill="1" applyBorder="1" applyAlignment="1">
      <alignment vertical="center"/>
    </xf>
    <xf numFmtId="0" fontId="43" fillId="34" borderId="13" xfId="0" applyFont="1" applyFill="1" applyBorder="1" applyAlignment="1" applyProtection="1">
      <alignment vertical="center"/>
      <protection locked="0"/>
    </xf>
    <xf numFmtId="0" fontId="43" fillId="34" borderId="26" xfId="0" applyFont="1" applyFill="1" applyBorder="1" applyAlignment="1" applyProtection="1">
      <alignment vertical="center"/>
      <protection locked="0"/>
    </xf>
    <xf numFmtId="0" fontId="43" fillId="34" borderId="48" xfId="0" applyFont="1" applyFill="1" applyBorder="1" applyAlignment="1" applyProtection="1">
      <alignment vertical="center"/>
      <protection locked="0"/>
    </xf>
    <xf numFmtId="0" fontId="43" fillId="34" borderId="31" xfId="0" applyFont="1" applyFill="1" applyBorder="1" applyAlignment="1" applyProtection="1">
      <alignment vertical="center"/>
      <protection locked="0"/>
    </xf>
    <xf numFmtId="0" fontId="43" fillId="34" borderId="24" xfId="0" applyFont="1" applyFill="1" applyBorder="1" applyAlignment="1" applyProtection="1">
      <alignment vertical="center"/>
      <protection locked="0"/>
    </xf>
    <xf numFmtId="0" fontId="43" fillId="34" borderId="60" xfId="0" applyFont="1" applyFill="1" applyBorder="1" applyAlignment="1" applyProtection="1">
      <alignment vertical="center"/>
      <protection locked="0"/>
    </xf>
    <xf numFmtId="0" fontId="43" fillId="34" borderId="22" xfId="0" applyFont="1" applyFill="1" applyBorder="1" applyAlignment="1">
      <alignment vertical="center"/>
    </xf>
    <xf numFmtId="0" fontId="43" fillId="34" borderId="28" xfId="0" applyFont="1" applyFill="1" applyBorder="1" applyAlignment="1">
      <alignment vertical="center"/>
    </xf>
    <xf numFmtId="0" fontId="43" fillId="34" borderId="18" xfId="0" applyFont="1" applyFill="1" applyBorder="1" applyAlignment="1">
      <alignment vertical="center"/>
    </xf>
    <xf numFmtId="0" fontId="43" fillId="34" borderId="22" xfId="0" applyFont="1" applyFill="1" applyBorder="1" applyAlignment="1" applyProtection="1">
      <alignment vertical="center"/>
      <protection locked="0"/>
    </xf>
    <xf numFmtId="0" fontId="43" fillId="34" borderId="28" xfId="0" applyFont="1" applyFill="1" applyBorder="1" applyAlignment="1" applyProtection="1">
      <alignment vertical="center"/>
      <protection locked="0"/>
    </xf>
    <xf numFmtId="0" fontId="43" fillId="34" borderId="29" xfId="0" applyFont="1" applyFill="1" applyBorder="1" applyAlignment="1" applyProtection="1">
      <alignment vertical="center"/>
      <protection locked="0"/>
    </xf>
    <xf numFmtId="0" fontId="43" fillId="34" borderId="18" xfId="0" applyFont="1" applyFill="1" applyBorder="1" applyAlignment="1" applyProtection="1">
      <alignment vertical="center"/>
      <protection locked="0"/>
    </xf>
    <xf numFmtId="0" fontId="43" fillId="34" borderId="32" xfId="0" applyFont="1" applyFill="1" applyBorder="1" applyAlignment="1" applyProtection="1">
      <alignment vertical="center"/>
      <protection locked="0"/>
    </xf>
    <xf numFmtId="0" fontId="43" fillId="34" borderId="34" xfId="0" applyFont="1" applyFill="1" applyBorder="1" applyAlignment="1" applyProtection="1">
      <alignment vertical="center"/>
      <protection locked="0"/>
    </xf>
    <xf numFmtId="179" fontId="34" fillId="29" borderId="26" xfId="0" applyNumberFormat="1" applyFont="1" applyFill="1" applyBorder="1" applyAlignment="1">
      <alignment horizontal="center" vertical="center"/>
    </xf>
    <xf numFmtId="0" fontId="43" fillId="34" borderId="48" xfId="0" applyFont="1" applyFill="1" applyBorder="1" applyAlignment="1">
      <alignment horizontal="center" vertical="center"/>
    </xf>
    <xf numFmtId="189" fontId="43" fillId="34" borderId="13" xfId="0" applyNumberFormat="1" applyFont="1" applyFill="1" applyBorder="1" applyAlignment="1">
      <alignment horizontal="right" vertical="center"/>
    </xf>
    <xf numFmtId="189" fontId="43" fillId="34" borderId="26" xfId="0" applyNumberFormat="1" applyFont="1" applyFill="1" applyBorder="1" applyAlignment="1">
      <alignment horizontal="right" vertical="center"/>
    </xf>
    <xf numFmtId="0" fontId="43" fillId="34" borderId="31" xfId="0" applyNumberFormat="1" applyFont="1" applyFill="1" applyBorder="1" applyAlignment="1">
      <alignment horizontal="right" vertical="center"/>
    </xf>
    <xf numFmtId="0" fontId="43" fillId="34" borderId="24" xfId="0" applyNumberFormat="1" applyFont="1" applyFill="1" applyBorder="1" applyAlignment="1" applyProtection="1">
      <alignment vertical="center"/>
      <protection locked="0"/>
    </xf>
    <xf numFmtId="0" fontId="43" fillId="34" borderId="26" xfId="0" applyNumberFormat="1" applyFont="1" applyFill="1" applyBorder="1" applyAlignment="1" applyProtection="1">
      <alignment vertical="center"/>
      <protection locked="0"/>
    </xf>
    <xf numFmtId="0" fontId="43" fillId="34" borderId="31" xfId="0" applyNumberFormat="1" applyFont="1" applyFill="1" applyBorder="1" applyAlignment="1" applyProtection="1">
      <alignment vertical="center"/>
      <protection locked="0"/>
    </xf>
    <xf numFmtId="0" fontId="43" fillId="34" borderId="31" xfId="33" applyNumberFormat="1" applyFont="1" applyFill="1" applyBorder="1" applyAlignment="1" applyProtection="1">
      <alignment vertical="center"/>
      <protection locked="0"/>
    </xf>
    <xf numFmtId="0" fontId="43" fillId="34" borderId="48" xfId="0" applyNumberFormat="1" applyFont="1" applyFill="1" applyBorder="1" applyAlignment="1" applyProtection="1">
      <alignment vertical="center"/>
      <protection locked="0"/>
    </xf>
    <xf numFmtId="0" fontId="43" fillId="34" borderId="13" xfId="0" applyNumberFormat="1" applyFont="1" applyFill="1" applyBorder="1" applyAlignment="1" applyProtection="1">
      <alignment vertical="center"/>
      <protection locked="0"/>
    </xf>
    <xf numFmtId="179" fontId="34" fillId="29" borderId="78" xfId="0" applyNumberFormat="1" applyFont="1" applyFill="1" applyBorder="1" applyAlignment="1">
      <alignment horizontal="center" vertical="center"/>
    </xf>
    <xf numFmtId="0" fontId="43" fillId="29" borderId="77" xfId="0" applyFont="1" applyFill="1" applyBorder="1" applyAlignment="1">
      <alignment horizontal="center" vertical="center"/>
    </xf>
    <xf numFmtId="192" fontId="43" fillId="32" borderId="74" xfId="0" applyNumberFormat="1" applyFont="1" applyFill="1" applyBorder="1" applyAlignment="1">
      <alignment horizontal="right" vertical="center"/>
    </xf>
    <xf numFmtId="192" fontId="43" fillId="32" borderId="75" xfId="0" applyNumberFormat="1" applyFont="1" applyFill="1" applyBorder="1" applyAlignment="1">
      <alignment horizontal="right" vertical="center"/>
    </xf>
    <xf numFmtId="0" fontId="43" fillId="32" borderId="78" xfId="0" applyNumberFormat="1" applyFont="1" applyFill="1" applyBorder="1" applyAlignment="1" applyProtection="1">
      <alignment vertical="center"/>
      <protection locked="0"/>
    </xf>
    <xf numFmtId="0" fontId="43" fillId="32" borderId="74" xfId="0" applyNumberFormat="1" applyFont="1" applyFill="1" applyBorder="1" applyAlignment="1" applyProtection="1">
      <alignment vertical="center"/>
      <protection locked="0"/>
    </xf>
    <xf numFmtId="0" fontId="43" fillId="32" borderId="75" xfId="0" applyNumberFormat="1" applyFont="1" applyFill="1" applyBorder="1" applyAlignment="1" applyProtection="1">
      <alignment vertical="center"/>
      <protection locked="0"/>
    </xf>
    <xf numFmtId="0" fontId="43" fillId="32" borderId="75" xfId="33" applyNumberFormat="1" applyFont="1" applyFill="1" applyBorder="1" applyAlignment="1" applyProtection="1">
      <alignment vertical="center"/>
      <protection locked="0"/>
    </xf>
    <xf numFmtId="0" fontId="43" fillId="32" borderId="77" xfId="0" applyNumberFormat="1" applyFont="1" applyFill="1" applyBorder="1" applyAlignment="1" applyProtection="1">
      <alignment vertical="center"/>
      <protection locked="0"/>
    </xf>
    <xf numFmtId="0" fontId="43" fillId="32" borderId="15" xfId="0" applyNumberFormat="1" applyFont="1" applyFill="1" applyBorder="1" applyAlignment="1" applyProtection="1">
      <alignment vertical="center"/>
      <protection locked="0"/>
    </xf>
    <xf numFmtId="179" fontId="34" fillId="29" borderId="28" xfId="0" applyNumberFormat="1" applyFont="1" applyFill="1" applyBorder="1" applyAlignment="1">
      <alignment horizontal="center" vertical="center"/>
    </xf>
    <xf numFmtId="0" fontId="43" fillId="34" borderId="29" xfId="0" applyFont="1" applyFill="1" applyBorder="1" applyAlignment="1">
      <alignment horizontal="center" vertical="center"/>
    </xf>
    <xf numFmtId="192" fontId="43" fillId="34" borderId="22" xfId="0" applyNumberFormat="1" applyFont="1" applyFill="1" applyBorder="1" applyAlignment="1">
      <alignment horizontal="right" vertical="center"/>
    </xf>
    <xf numFmtId="192" fontId="43" fillId="34" borderId="28" xfId="0" applyNumberFormat="1" applyFont="1" applyFill="1" applyBorder="1" applyAlignment="1">
      <alignment horizontal="right" vertical="center"/>
    </xf>
    <xf numFmtId="192" fontId="43" fillId="34" borderId="18" xfId="0" applyNumberFormat="1" applyFont="1" applyFill="1" applyBorder="1" applyAlignment="1">
      <alignment horizontal="right" vertical="center"/>
    </xf>
    <xf numFmtId="0" fontId="43" fillId="34" borderId="32" xfId="0" applyNumberFormat="1" applyFont="1" applyFill="1" applyBorder="1" applyAlignment="1" applyProtection="1">
      <alignment vertical="center"/>
      <protection locked="0"/>
    </xf>
    <xf numFmtId="0" fontId="43" fillId="34" borderId="28" xfId="0" applyNumberFormat="1" applyFont="1" applyFill="1" applyBorder="1" applyAlignment="1" applyProtection="1">
      <alignment vertical="center"/>
      <protection locked="0"/>
    </xf>
    <xf numFmtId="0" fontId="43" fillId="34" borderId="18" xfId="0" applyNumberFormat="1" applyFont="1" applyFill="1" applyBorder="1" applyAlignment="1" applyProtection="1">
      <alignment vertical="center"/>
      <protection locked="0"/>
    </xf>
    <xf numFmtId="0" fontId="43" fillId="34" borderId="18" xfId="33" applyNumberFormat="1" applyFont="1" applyFill="1" applyBorder="1" applyAlignment="1" applyProtection="1">
      <alignment vertical="center"/>
      <protection locked="0"/>
    </xf>
    <xf numFmtId="0" fontId="43" fillId="34" borderId="29" xfId="0" applyNumberFormat="1" applyFont="1" applyFill="1" applyBorder="1" applyAlignment="1" applyProtection="1">
      <alignment vertical="center"/>
      <protection locked="0"/>
    </xf>
    <xf numFmtId="0" fontId="43" fillId="34" borderId="22" xfId="0" applyNumberFormat="1" applyFont="1" applyFill="1" applyBorder="1" applyAlignment="1" applyProtection="1">
      <alignment vertical="center"/>
      <protection locked="0"/>
    </xf>
    <xf numFmtId="0" fontId="43" fillId="0" borderId="65" xfId="0" applyFont="1" applyBorder="1"/>
    <xf numFmtId="0" fontId="43" fillId="34" borderId="13" xfId="0" applyNumberFormat="1" applyFont="1" applyFill="1" applyBorder="1" applyAlignment="1">
      <alignment horizontal="right" vertical="center"/>
    </xf>
    <xf numFmtId="0" fontId="43" fillId="34" borderId="26" xfId="0" applyNumberFormat="1" applyFont="1" applyFill="1" applyBorder="1" applyAlignment="1">
      <alignment horizontal="right" vertical="center"/>
    </xf>
    <xf numFmtId="0" fontId="43" fillId="34" borderId="48" xfId="0" applyNumberFormat="1" applyFont="1" applyFill="1" applyBorder="1" applyAlignment="1">
      <alignment horizontal="right" vertical="center"/>
    </xf>
    <xf numFmtId="0" fontId="43" fillId="34" borderId="48" xfId="33" applyNumberFormat="1" applyFont="1" applyFill="1" applyBorder="1" applyAlignment="1" applyProtection="1">
      <alignment vertical="center"/>
      <protection locked="0"/>
    </xf>
    <xf numFmtId="0" fontId="43" fillId="34" borderId="22" xfId="0" applyNumberFormat="1" applyFont="1" applyFill="1" applyBorder="1" applyAlignment="1">
      <alignment horizontal="right" vertical="center"/>
    </xf>
    <xf numFmtId="0" fontId="43" fillId="34" borderId="28" xfId="0" applyNumberFormat="1" applyFont="1" applyFill="1" applyBorder="1" applyAlignment="1">
      <alignment horizontal="right" vertical="center"/>
    </xf>
    <xf numFmtId="0" fontId="43" fillId="34" borderId="29" xfId="0" applyNumberFormat="1" applyFont="1" applyFill="1" applyBorder="1" applyAlignment="1">
      <alignment horizontal="right" vertical="center"/>
    </xf>
    <xf numFmtId="0" fontId="43" fillId="34" borderId="29" xfId="33" applyNumberFormat="1" applyFont="1" applyFill="1" applyBorder="1" applyAlignment="1" applyProtection="1">
      <alignment vertical="center"/>
      <protection locked="0"/>
    </xf>
    <xf numFmtId="40" fontId="43" fillId="34" borderId="24" xfId="33" applyNumberFormat="1" applyFont="1" applyFill="1" applyBorder="1" applyAlignment="1" applyProtection="1">
      <alignment vertical="center"/>
      <protection hidden="1"/>
    </xf>
    <xf numFmtId="40" fontId="43" fillId="34" borderId="32" xfId="33" applyNumberFormat="1" applyFont="1" applyFill="1" applyBorder="1" applyAlignment="1" applyProtection="1">
      <alignment vertical="center"/>
      <protection hidden="1"/>
    </xf>
    <xf numFmtId="40" fontId="43" fillId="34" borderId="23" xfId="33" applyNumberFormat="1" applyFont="1" applyFill="1" applyBorder="1" applyAlignment="1" applyProtection="1">
      <alignment vertical="center"/>
      <protection hidden="1"/>
    </xf>
    <xf numFmtId="40" fontId="43" fillId="34" borderId="52" xfId="33" applyNumberFormat="1" applyFont="1" applyFill="1" applyBorder="1" applyAlignment="1" applyProtection="1">
      <alignment vertical="center"/>
      <protection hidden="1"/>
    </xf>
    <xf numFmtId="40" fontId="43" fillId="34" borderId="65" xfId="33" applyNumberFormat="1" applyFont="1" applyFill="1" applyBorder="1" applyAlignment="1" applyProtection="1">
      <alignment vertical="center"/>
      <protection hidden="1"/>
    </xf>
    <xf numFmtId="0" fontId="43" fillId="34" borderId="24" xfId="0" applyFont="1" applyFill="1" applyBorder="1"/>
    <xf numFmtId="0" fontId="43" fillId="34" borderId="26" xfId="0" applyFont="1" applyFill="1" applyBorder="1"/>
    <xf numFmtId="0" fontId="43" fillId="34" borderId="26" xfId="33" applyNumberFormat="1" applyFont="1" applyFill="1" applyBorder="1" applyAlignment="1" applyProtection="1">
      <alignment vertical="center"/>
      <protection hidden="1"/>
    </xf>
    <xf numFmtId="0" fontId="43" fillId="34" borderId="65" xfId="33" applyNumberFormat="1" applyFont="1" applyFill="1" applyBorder="1" applyAlignment="1" applyProtection="1">
      <alignment vertical="center"/>
      <protection hidden="1"/>
    </xf>
    <xf numFmtId="186" fontId="43" fillId="34" borderId="26" xfId="33" applyNumberFormat="1" applyFont="1" applyFill="1" applyBorder="1" applyAlignment="1" applyProtection="1">
      <alignment vertical="center"/>
      <protection hidden="1"/>
    </xf>
    <xf numFmtId="186" fontId="43" fillId="34" borderId="32" xfId="33" applyNumberFormat="1" applyFont="1" applyFill="1" applyBorder="1" applyAlignment="1" applyProtection="1">
      <alignment vertical="center"/>
      <protection hidden="1"/>
    </xf>
    <xf numFmtId="186" fontId="43" fillId="34" borderId="65" xfId="33" applyNumberFormat="1" applyFont="1" applyFill="1" applyBorder="1" applyAlignment="1" applyProtection="1">
      <alignment vertical="center"/>
      <protection hidden="1"/>
    </xf>
    <xf numFmtId="186" fontId="43" fillId="34" borderId="33" xfId="33" applyNumberFormat="1" applyFont="1" applyFill="1" applyBorder="1" applyAlignment="1" applyProtection="1">
      <alignment vertical="center"/>
      <protection hidden="1"/>
    </xf>
    <xf numFmtId="40" fontId="43" fillId="34" borderId="17" xfId="33" applyNumberFormat="1" applyFont="1" applyFill="1" applyBorder="1" applyAlignment="1" applyProtection="1">
      <alignment vertical="center"/>
      <protection hidden="1"/>
    </xf>
    <xf numFmtId="40" fontId="43" fillId="34" borderId="47" xfId="33" applyNumberFormat="1" applyFont="1" applyFill="1" applyBorder="1" applyAlignment="1" applyProtection="1">
      <alignment vertical="center"/>
      <protection hidden="1"/>
    </xf>
    <xf numFmtId="40" fontId="43" fillId="34" borderId="44" xfId="33" applyNumberFormat="1" applyFont="1" applyFill="1" applyBorder="1" applyAlignment="1" applyProtection="1">
      <alignment vertical="center"/>
      <protection hidden="1"/>
    </xf>
    <xf numFmtId="186" fontId="43" fillId="34" borderId="18" xfId="33" applyNumberFormat="1" applyFont="1" applyFill="1" applyBorder="1" applyAlignment="1" applyProtection="1">
      <alignment vertical="center"/>
      <protection hidden="1"/>
    </xf>
    <xf numFmtId="186" fontId="43" fillId="34" borderId="64" xfId="33" applyNumberFormat="1" applyFont="1" applyFill="1" applyBorder="1" applyAlignment="1" applyProtection="1">
      <alignment vertical="center"/>
      <protection hidden="1"/>
    </xf>
    <xf numFmtId="40" fontId="43" fillId="34" borderId="31" xfId="33" applyNumberFormat="1" applyFont="1" applyFill="1" applyBorder="1" applyAlignment="1" applyProtection="1">
      <alignment vertical="center"/>
      <protection hidden="1"/>
    </xf>
    <xf numFmtId="186" fontId="43" fillId="34" borderId="24" xfId="33" applyNumberFormat="1" applyFont="1" applyFill="1" applyBorder="1" applyAlignment="1" applyProtection="1">
      <alignment vertical="center"/>
      <protection hidden="1"/>
    </xf>
    <xf numFmtId="0" fontId="43" fillId="34" borderId="31" xfId="0" applyFont="1" applyFill="1" applyBorder="1"/>
    <xf numFmtId="40" fontId="43" fillId="34" borderId="34" xfId="33" applyNumberFormat="1" applyFont="1" applyFill="1" applyBorder="1" applyAlignment="1" applyProtection="1">
      <alignment vertical="center"/>
      <protection hidden="1"/>
    </xf>
    <xf numFmtId="186" fontId="43" fillId="34" borderId="13" xfId="33" applyNumberFormat="1" applyFont="1" applyFill="1" applyBorder="1" applyAlignment="1" applyProtection="1">
      <alignment vertical="center"/>
      <protection hidden="1"/>
    </xf>
    <xf numFmtId="40" fontId="43" fillId="34" borderId="22" xfId="33" applyNumberFormat="1" applyFont="1" applyFill="1" applyBorder="1" applyAlignment="1" applyProtection="1">
      <alignment vertical="center"/>
      <protection hidden="1"/>
    </xf>
    <xf numFmtId="40" fontId="43" fillId="34" borderId="33" xfId="33" applyNumberFormat="1" applyFont="1" applyFill="1" applyBorder="1" applyAlignment="1" applyProtection="1">
      <alignment vertical="center"/>
      <protection hidden="1"/>
    </xf>
    <xf numFmtId="40" fontId="43" fillId="34" borderId="11" xfId="33" applyNumberFormat="1" applyFont="1" applyFill="1" applyBorder="1" applyAlignment="1" applyProtection="1">
      <alignment vertical="center"/>
      <protection hidden="1"/>
    </xf>
    <xf numFmtId="0" fontId="43" fillId="34" borderId="0" xfId="0" applyFont="1" applyFill="1"/>
    <xf numFmtId="0" fontId="43" fillId="34" borderId="24" xfId="33" applyNumberFormat="1" applyFont="1" applyFill="1" applyBorder="1" applyAlignment="1" applyProtection="1">
      <alignment vertical="center"/>
      <protection hidden="1"/>
    </xf>
    <xf numFmtId="0" fontId="43" fillId="34" borderId="33" xfId="33" applyNumberFormat="1" applyFont="1" applyFill="1" applyBorder="1" applyAlignment="1" applyProtection="1">
      <alignment vertical="center"/>
      <protection hidden="1"/>
    </xf>
    <xf numFmtId="0" fontId="43" fillId="34" borderId="13" xfId="33" applyNumberFormat="1" applyFont="1" applyFill="1" applyBorder="1" applyAlignment="1" applyProtection="1">
      <alignment vertical="center"/>
      <protection hidden="1"/>
    </xf>
    <xf numFmtId="40" fontId="43" fillId="0" borderId="21" xfId="33" applyNumberFormat="1" applyFont="1" applyBorder="1" applyAlignment="1" applyProtection="1">
      <alignment vertical="center"/>
      <protection hidden="1"/>
    </xf>
    <xf numFmtId="40" fontId="43" fillId="0" borderId="23" xfId="33" applyNumberFormat="1" applyFont="1" applyBorder="1" applyAlignment="1" applyProtection="1">
      <alignment vertical="center"/>
      <protection hidden="1"/>
    </xf>
    <xf numFmtId="40" fontId="43" fillId="0" borderId="30" xfId="33" applyNumberFormat="1" applyFont="1" applyBorder="1" applyAlignment="1" applyProtection="1">
      <alignment vertical="center"/>
      <protection hidden="1"/>
    </xf>
    <xf numFmtId="0" fontId="0" fillId="0" borderId="35" xfId="0" applyFont="1" applyFill="1" applyBorder="1" applyAlignment="1">
      <alignment horizontal="center" vertical="center"/>
    </xf>
    <xf numFmtId="0" fontId="0" fillId="0" borderId="21" xfId="0" applyFont="1" applyFill="1" applyBorder="1" applyAlignment="1">
      <alignment horizontal="center" vertical="center"/>
    </xf>
    <xf numFmtId="0" fontId="0" fillId="0" borderId="16" xfId="0" applyFont="1" applyFill="1" applyBorder="1" applyAlignment="1">
      <alignment horizontal="center" vertical="center"/>
    </xf>
    <xf numFmtId="0" fontId="0" fillId="0" borderId="35" xfId="0" applyFont="1" applyBorder="1" applyAlignment="1">
      <alignment horizontal="center" vertical="center"/>
    </xf>
    <xf numFmtId="193" fontId="43" fillId="32" borderId="74" xfId="0" applyNumberFormat="1" applyFont="1" applyFill="1" applyBorder="1" applyAlignment="1">
      <alignment horizontal="right" vertical="center"/>
    </xf>
    <xf numFmtId="193" fontId="43" fillId="32" borderId="15" xfId="0" applyNumberFormat="1" applyFont="1" applyFill="1" applyBorder="1" applyAlignment="1">
      <alignment horizontal="right" vertical="center"/>
    </xf>
    <xf numFmtId="0" fontId="47" fillId="0" borderId="0" xfId="0" applyFont="1" applyAlignment="1">
      <alignment horizontal="left" vertical="center"/>
    </xf>
    <xf numFmtId="0" fontId="43" fillId="0" borderId="11" xfId="0" applyFont="1" applyBorder="1" applyAlignment="1">
      <alignment horizontal="center" vertical="center"/>
    </xf>
    <xf numFmtId="0" fontId="30" fillId="0" borderId="0" xfId="0" applyFont="1" applyAlignment="1"/>
    <xf numFmtId="0" fontId="30" fillId="0" borderId="0" xfId="0" applyFont="1" applyAlignment="1">
      <alignment vertical="center"/>
    </xf>
    <xf numFmtId="192" fontId="43" fillId="0" borderId="0" xfId="0" applyNumberFormat="1" applyFont="1"/>
    <xf numFmtId="2" fontId="43" fillId="0" borderId="0" xfId="0" applyNumberFormat="1" applyFont="1"/>
    <xf numFmtId="0" fontId="43" fillId="34" borderId="66" xfId="0" applyFont="1" applyFill="1" applyBorder="1" applyAlignment="1">
      <alignment horizontal="center" vertical="center"/>
    </xf>
    <xf numFmtId="192" fontId="43" fillId="34" borderId="13" xfId="0" applyNumberFormat="1" applyFont="1" applyFill="1" applyBorder="1" applyAlignment="1">
      <alignment horizontal="right" vertical="center"/>
    </xf>
    <xf numFmtId="192" fontId="43" fillId="34" borderId="26" xfId="0" applyNumberFormat="1" applyFont="1" applyFill="1" applyBorder="1" applyAlignment="1">
      <alignment horizontal="right" vertical="center"/>
    </xf>
    <xf numFmtId="192" fontId="43" fillId="34" borderId="31" xfId="0" applyNumberFormat="1" applyFont="1" applyFill="1" applyBorder="1" applyAlignment="1">
      <alignment horizontal="right" vertical="center"/>
    </xf>
    <xf numFmtId="192" fontId="43" fillId="34" borderId="21" xfId="0" applyNumberFormat="1" applyFont="1" applyFill="1" applyBorder="1" applyAlignment="1">
      <alignment horizontal="right" vertical="center"/>
    </xf>
    <xf numFmtId="193" fontId="43" fillId="32" borderId="16" xfId="0" applyNumberFormat="1" applyFont="1" applyFill="1" applyBorder="1" applyAlignment="1">
      <alignment horizontal="right" vertical="center"/>
    </xf>
    <xf numFmtId="192" fontId="43" fillId="34" borderId="27" xfId="0" applyNumberFormat="1" applyFont="1" applyFill="1" applyBorder="1" applyAlignment="1">
      <alignment horizontal="right" vertical="center"/>
    </xf>
    <xf numFmtId="193" fontId="43" fillId="32" borderId="42" xfId="0" applyNumberFormat="1" applyFont="1" applyFill="1" applyBorder="1" applyAlignment="1">
      <alignment horizontal="right" vertical="center"/>
    </xf>
    <xf numFmtId="192" fontId="43" fillId="32" borderId="42" xfId="0" applyNumberFormat="1" applyFont="1" applyFill="1" applyBorder="1" applyAlignment="1">
      <alignment horizontal="right" vertical="center"/>
    </xf>
    <xf numFmtId="0" fontId="43" fillId="32" borderId="42" xfId="0" applyNumberFormat="1" applyFont="1" applyFill="1" applyBorder="1" applyAlignment="1" applyProtection="1">
      <alignment vertical="center"/>
      <protection locked="0"/>
    </xf>
    <xf numFmtId="0" fontId="43" fillId="32" borderId="42" xfId="33" applyNumberFormat="1" applyFont="1" applyFill="1" applyBorder="1" applyAlignment="1" applyProtection="1">
      <alignment vertical="center"/>
      <protection locked="0"/>
    </xf>
    <xf numFmtId="192" fontId="43" fillId="34" borderId="17" xfId="0" applyNumberFormat="1" applyFont="1" applyFill="1" applyBorder="1" applyAlignment="1">
      <alignment horizontal="right" vertical="center"/>
    </xf>
    <xf numFmtId="0" fontId="43" fillId="32" borderId="19" xfId="0" applyNumberFormat="1" applyFont="1" applyFill="1" applyBorder="1" applyAlignment="1" applyProtection="1">
      <alignment vertical="center"/>
      <protection locked="0"/>
    </xf>
    <xf numFmtId="0" fontId="56" fillId="0" borderId="0" xfId="0" applyFont="1"/>
    <xf numFmtId="0" fontId="57" fillId="0" borderId="0" xfId="0" applyFont="1" applyAlignment="1">
      <alignment vertical="center"/>
    </xf>
    <xf numFmtId="0" fontId="43" fillId="29" borderId="44" xfId="0" applyFont="1" applyFill="1" applyBorder="1" applyAlignment="1">
      <alignment horizontal="center" vertical="center"/>
    </xf>
    <xf numFmtId="0" fontId="43" fillId="0" borderId="75" xfId="0" applyFont="1" applyFill="1" applyBorder="1" applyAlignment="1">
      <alignment horizontal="center" vertical="center"/>
    </xf>
    <xf numFmtId="2" fontId="43" fillId="0" borderId="78" xfId="0" applyNumberFormat="1" applyFont="1" applyFill="1" applyBorder="1"/>
    <xf numFmtId="2" fontId="43" fillId="0" borderId="74" xfId="0" applyNumberFormat="1" applyFont="1" applyFill="1" applyBorder="1"/>
    <xf numFmtId="2" fontId="43" fillId="0" borderId="75" xfId="0" applyNumberFormat="1" applyFont="1" applyFill="1" applyBorder="1"/>
    <xf numFmtId="2" fontId="43" fillId="0" borderId="77" xfId="0" applyNumberFormat="1" applyFont="1" applyFill="1" applyBorder="1"/>
    <xf numFmtId="2" fontId="43" fillId="0" borderId="15" xfId="0" applyNumberFormat="1" applyFont="1" applyFill="1" applyBorder="1"/>
    <xf numFmtId="0" fontId="43" fillId="0" borderId="15" xfId="0" applyNumberFormat="1" applyFont="1" applyFill="1" applyBorder="1"/>
    <xf numFmtId="0" fontId="43" fillId="0" borderId="74" xfId="0" applyNumberFormat="1" applyFont="1" applyFill="1" applyBorder="1"/>
    <xf numFmtId="0" fontId="43" fillId="0" borderId="75" xfId="0" applyNumberFormat="1" applyFont="1" applyFill="1" applyBorder="1"/>
    <xf numFmtId="0" fontId="43" fillId="0" borderId="78" xfId="0" applyNumberFormat="1" applyFont="1" applyFill="1" applyBorder="1"/>
    <xf numFmtId="0" fontId="43" fillId="0" borderId="77" xfId="0" applyNumberFormat="1" applyFont="1" applyFill="1" applyBorder="1"/>
    <xf numFmtId="179" fontId="34" fillId="0" borderId="13" xfId="0" applyNumberFormat="1" applyFont="1" applyFill="1" applyBorder="1" applyAlignment="1">
      <alignment horizontal="center" vertical="center"/>
    </xf>
    <xf numFmtId="0" fontId="43" fillId="0" borderId="47" xfId="0" applyFont="1" applyFill="1" applyBorder="1" applyAlignment="1">
      <alignment horizontal="center" vertical="center"/>
    </xf>
    <xf numFmtId="0" fontId="43" fillId="0" borderId="15" xfId="0" applyFont="1" applyFill="1" applyBorder="1" applyAlignment="1" applyProtection="1">
      <alignment vertical="center"/>
      <protection locked="0"/>
    </xf>
    <xf numFmtId="0" fontId="43" fillId="0" borderId="74" xfId="0" applyFont="1" applyFill="1" applyBorder="1" applyAlignment="1" applyProtection="1">
      <alignment vertical="center"/>
      <protection locked="0"/>
    </xf>
    <xf numFmtId="0" fontId="43" fillId="0" borderId="77" xfId="0" applyFont="1" applyFill="1" applyBorder="1" applyAlignment="1" applyProtection="1">
      <alignment vertical="center"/>
      <protection locked="0"/>
    </xf>
    <xf numFmtId="0" fontId="43" fillId="0" borderId="75" xfId="0" applyFont="1" applyFill="1" applyBorder="1" applyAlignment="1" applyProtection="1">
      <alignment vertical="center"/>
      <protection locked="0"/>
    </xf>
    <xf numFmtId="0" fontId="43" fillId="0" borderId="78" xfId="0" applyFont="1" applyFill="1" applyBorder="1" applyAlignment="1" applyProtection="1">
      <alignment vertical="center"/>
      <protection locked="0"/>
    </xf>
    <xf numFmtId="190" fontId="43" fillId="0" borderId="0" xfId="0" applyNumberFormat="1" applyFont="1" applyAlignment="1">
      <alignment vertical="center"/>
    </xf>
    <xf numFmtId="0" fontId="43" fillId="0" borderId="74" xfId="0" applyNumberFormat="1" applyFont="1" applyFill="1" applyBorder="1" applyAlignment="1" applyProtection="1">
      <alignment vertical="center"/>
      <protection locked="0"/>
    </xf>
    <xf numFmtId="0" fontId="43" fillId="0" borderId="77" xfId="0" applyNumberFormat="1" applyFont="1" applyFill="1" applyBorder="1" applyAlignment="1" applyProtection="1">
      <alignment vertical="center"/>
      <protection locked="0"/>
    </xf>
    <xf numFmtId="0" fontId="43" fillId="0" borderId="15" xfId="0" applyNumberFormat="1" applyFont="1" applyFill="1" applyBorder="1" applyAlignment="1" applyProtection="1">
      <alignment vertical="center"/>
      <protection locked="0"/>
    </xf>
    <xf numFmtId="0" fontId="43" fillId="0" borderId="15" xfId="0" applyNumberFormat="1" applyFont="1" applyFill="1" applyBorder="1" applyAlignment="1">
      <alignment horizontal="right" vertical="center"/>
    </xf>
    <xf numFmtId="0" fontId="43" fillId="0" borderId="74" xfId="0" applyNumberFormat="1" applyFont="1" applyFill="1" applyBorder="1" applyAlignment="1">
      <alignment horizontal="right" vertical="center"/>
    </xf>
    <xf numFmtId="0" fontId="43" fillId="0" borderId="77" xfId="0" applyNumberFormat="1" applyFont="1" applyFill="1" applyBorder="1" applyAlignment="1">
      <alignment horizontal="right" vertical="center"/>
    </xf>
    <xf numFmtId="0" fontId="43" fillId="0" borderId="77" xfId="33" applyNumberFormat="1" applyFont="1" applyFill="1" applyBorder="1" applyAlignment="1" applyProtection="1">
      <alignment vertical="center"/>
      <protection locked="0"/>
    </xf>
    <xf numFmtId="40" fontId="43" fillId="0" borderId="28" xfId="33" applyNumberFormat="1" applyFont="1" applyFill="1" applyBorder="1" applyAlignment="1" applyProtection="1">
      <alignment vertical="center"/>
      <protection hidden="1"/>
    </xf>
    <xf numFmtId="0" fontId="43" fillId="0" borderId="28" xfId="33" applyNumberFormat="1" applyFont="1" applyFill="1" applyBorder="1" applyAlignment="1" applyProtection="1">
      <alignment vertical="center"/>
      <protection hidden="1"/>
    </xf>
    <xf numFmtId="40" fontId="43" fillId="0" borderId="34" xfId="33" applyNumberFormat="1" applyFont="1" applyBorder="1" applyAlignment="1" applyProtection="1">
      <alignment vertical="center"/>
      <protection hidden="1"/>
    </xf>
    <xf numFmtId="186" fontId="43" fillId="0" borderId="34" xfId="33" applyNumberFormat="1" applyFont="1" applyBorder="1" applyAlignment="1" applyProtection="1">
      <alignment vertical="center"/>
      <protection hidden="1"/>
    </xf>
    <xf numFmtId="186" fontId="43" fillId="0" borderId="0" xfId="33" applyNumberFormat="1" applyFont="1" applyBorder="1" applyAlignment="1" applyProtection="1">
      <alignment vertical="center"/>
      <protection hidden="1"/>
    </xf>
    <xf numFmtId="186" fontId="43" fillId="34" borderId="60" xfId="33" applyNumberFormat="1" applyFont="1" applyFill="1" applyBorder="1" applyAlignment="1" applyProtection="1">
      <alignment vertical="center"/>
      <protection hidden="1"/>
    </xf>
    <xf numFmtId="0" fontId="43" fillId="34" borderId="60" xfId="33" applyNumberFormat="1" applyFont="1" applyFill="1" applyBorder="1" applyAlignment="1" applyProtection="1">
      <alignment vertical="center"/>
      <protection hidden="1"/>
    </xf>
    <xf numFmtId="0" fontId="43" fillId="0" borderId="29" xfId="33" applyNumberFormat="1" applyFont="1" applyFill="1" applyBorder="1" applyAlignment="1" applyProtection="1">
      <alignment vertical="center"/>
      <protection hidden="1"/>
    </xf>
    <xf numFmtId="40" fontId="43" fillId="0" borderId="55" xfId="33" applyNumberFormat="1" applyFont="1" applyBorder="1" applyAlignment="1" applyProtection="1">
      <alignment vertical="center"/>
      <protection hidden="1"/>
    </xf>
    <xf numFmtId="40" fontId="43" fillId="34" borderId="13" xfId="33" applyNumberFormat="1" applyFont="1" applyFill="1" applyBorder="1" applyAlignment="1" applyProtection="1">
      <alignment vertical="center"/>
      <protection hidden="1"/>
    </xf>
    <xf numFmtId="40" fontId="43" fillId="32" borderId="15" xfId="33" applyNumberFormat="1" applyFont="1" applyFill="1" applyBorder="1" applyAlignment="1" applyProtection="1">
      <alignment vertical="center"/>
      <protection hidden="1"/>
    </xf>
    <xf numFmtId="40" fontId="43" fillId="32" borderId="78" xfId="33" applyNumberFormat="1" applyFont="1" applyFill="1" applyBorder="1" applyAlignment="1" applyProtection="1">
      <alignment vertical="center"/>
      <protection hidden="1"/>
    </xf>
    <xf numFmtId="0" fontId="43" fillId="0" borderId="32" xfId="33" applyNumberFormat="1" applyFont="1" applyFill="1" applyBorder="1" applyAlignment="1" applyProtection="1">
      <alignment vertical="center"/>
      <protection hidden="1"/>
    </xf>
    <xf numFmtId="0" fontId="43" fillId="0" borderId="22" xfId="33" applyNumberFormat="1" applyFont="1" applyFill="1" applyBorder="1" applyAlignment="1" applyProtection="1">
      <alignment vertical="center"/>
      <protection hidden="1"/>
    </xf>
    <xf numFmtId="0" fontId="43" fillId="32" borderId="15" xfId="33" applyNumberFormat="1" applyFont="1" applyFill="1" applyBorder="1" applyAlignment="1" applyProtection="1">
      <alignment vertical="center"/>
      <protection hidden="1"/>
    </xf>
    <xf numFmtId="0" fontId="43" fillId="32" borderId="78" xfId="33" applyNumberFormat="1" applyFont="1" applyFill="1" applyBorder="1" applyAlignment="1" applyProtection="1">
      <alignment vertical="center"/>
      <protection hidden="1"/>
    </xf>
    <xf numFmtId="0" fontId="43" fillId="0" borderId="18" xfId="33" applyNumberFormat="1" applyFont="1" applyFill="1" applyBorder="1" applyAlignment="1" applyProtection="1">
      <alignment vertical="center"/>
      <protection hidden="1"/>
    </xf>
    <xf numFmtId="40" fontId="43" fillId="0" borderId="25" xfId="33" applyNumberFormat="1" applyFont="1" applyBorder="1" applyAlignment="1" applyProtection="1">
      <alignment vertical="center"/>
      <protection hidden="1"/>
    </xf>
    <xf numFmtId="40" fontId="43" fillId="0" borderId="21" xfId="33" applyNumberFormat="1" applyFont="1" applyFill="1" applyBorder="1" applyAlignment="1" applyProtection="1">
      <alignment vertical="center"/>
      <protection hidden="1"/>
    </xf>
    <xf numFmtId="186" fontId="43" fillId="0" borderId="22" xfId="33" applyNumberFormat="1" applyFont="1" applyFill="1" applyBorder="1" applyAlignment="1" applyProtection="1">
      <alignment vertical="center"/>
      <protection hidden="1"/>
    </xf>
    <xf numFmtId="186" fontId="43" fillId="0" borderId="55" xfId="33" applyNumberFormat="1" applyFont="1" applyFill="1" applyBorder="1" applyAlignment="1" applyProtection="1">
      <alignment vertical="center"/>
      <protection hidden="1"/>
    </xf>
    <xf numFmtId="40" fontId="43" fillId="0" borderId="55" xfId="33" applyNumberFormat="1" applyFont="1" applyFill="1" applyBorder="1" applyAlignment="1" applyProtection="1">
      <alignment vertical="center"/>
      <protection hidden="1"/>
    </xf>
    <xf numFmtId="0" fontId="43" fillId="34" borderId="31" xfId="33" applyNumberFormat="1" applyFont="1" applyFill="1" applyBorder="1" applyAlignment="1" applyProtection="1">
      <alignment vertical="center"/>
      <protection hidden="1"/>
    </xf>
    <xf numFmtId="0" fontId="43" fillId="32" borderId="75" xfId="33" applyNumberFormat="1" applyFont="1" applyFill="1" applyBorder="1" applyAlignment="1" applyProtection="1">
      <alignment vertical="center"/>
      <protection hidden="1"/>
    </xf>
    <xf numFmtId="40" fontId="43" fillId="34" borderId="35" xfId="33" applyNumberFormat="1" applyFont="1" applyFill="1" applyBorder="1" applyAlignment="1" applyProtection="1">
      <alignment vertical="center"/>
      <protection hidden="1"/>
    </xf>
    <xf numFmtId="40" fontId="43" fillId="34" borderId="54" xfId="33" applyNumberFormat="1" applyFont="1" applyFill="1" applyBorder="1" applyAlignment="1" applyProtection="1">
      <alignment vertical="center"/>
      <protection hidden="1"/>
    </xf>
    <xf numFmtId="186" fontId="43" fillId="34" borderId="29" xfId="33" applyNumberFormat="1" applyFont="1" applyFill="1" applyBorder="1" applyAlignment="1" applyProtection="1">
      <alignment vertical="center"/>
      <protection hidden="1"/>
    </xf>
    <xf numFmtId="186" fontId="43" fillId="34" borderId="66" xfId="33" applyNumberFormat="1" applyFont="1" applyFill="1" applyBorder="1" applyAlignment="1" applyProtection="1">
      <alignment vertical="center"/>
      <protection hidden="1"/>
    </xf>
    <xf numFmtId="0" fontId="43" fillId="34" borderId="48" xfId="0" applyFont="1" applyFill="1" applyBorder="1"/>
    <xf numFmtId="0" fontId="43" fillId="34" borderId="48" xfId="33" applyNumberFormat="1" applyFont="1" applyFill="1" applyBorder="1" applyAlignment="1" applyProtection="1">
      <alignment vertical="center"/>
      <protection hidden="1"/>
    </xf>
    <xf numFmtId="0" fontId="43" fillId="32" borderId="77" xfId="33" applyNumberFormat="1" applyFont="1" applyFill="1" applyBorder="1" applyAlignment="1" applyProtection="1">
      <alignment vertical="center"/>
      <protection hidden="1"/>
    </xf>
    <xf numFmtId="40" fontId="43" fillId="34" borderId="21" xfId="33" applyNumberFormat="1" applyFont="1" applyFill="1" applyBorder="1" applyAlignment="1" applyProtection="1">
      <alignment vertical="center"/>
      <protection hidden="1"/>
    </xf>
    <xf numFmtId="40" fontId="43" fillId="34" borderId="50" xfId="33" applyNumberFormat="1" applyFont="1" applyFill="1" applyBorder="1" applyAlignment="1" applyProtection="1">
      <alignment vertical="center"/>
      <protection hidden="1"/>
    </xf>
    <xf numFmtId="40" fontId="43" fillId="34" borderId="55" xfId="33" applyNumberFormat="1" applyFont="1" applyFill="1" applyBorder="1" applyAlignment="1" applyProtection="1">
      <alignment vertical="center"/>
      <protection hidden="1"/>
    </xf>
    <xf numFmtId="0" fontId="43" fillId="34" borderId="13" xfId="0" applyFont="1" applyFill="1" applyBorder="1"/>
    <xf numFmtId="186" fontId="43" fillId="34" borderId="22" xfId="33" applyNumberFormat="1" applyFont="1" applyFill="1" applyBorder="1" applyAlignment="1" applyProtection="1">
      <alignment vertical="center"/>
      <protection hidden="1"/>
    </xf>
    <xf numFmtId="186" fontId="43" fillId="34" borderId="55" xfId="33" applyNumberFormat="1" applyFont="1" applyFill="1" applyBorder="1" applyAlignment="1" applyProtection="1">
      <alignment vertical="center"/>
      <protection hidden="1"/>
    </xf>
    <xf numFmtId="0" fontId="43" fillId="34" borderId="28" xfId="0" applyNumberFormat="1" applyFont="1" applyFill="1" applyBorder="1" applyAlignment="1" applyProtection="1">
      <alignment vertical="center"/>
      <protection hidden="1"/>
    </xf>
    <xf numFmtId="0" fontId="43" fillId="34" borderId="32" xfId="0" applyNumberFormat="1" applyFont="1" applyFill="1" applyBorder="1" applyAlignment="1" applyProtection="1">
      <alignment vertical="center"/>
      <protection hidden="1"/>
    </xf>
    <xf numFmtId="0" fontId="43" fillId="34" borderId="18" xfId="0" applyNumberFormat="1" applyFont="1" applyFill="1" applyBorder="1" applyAlignment="1" applyProtection="1">
      <alignment vertical="center"/>
      <protection hidden="1"/>
    </xf>
    <xf numFmtId="184" fontId="43" fillId="34" borderId="32" xfId="0" applyNumberFormat="1" applyFont="1" applyFill="1" applyBorder="1" applyAlignment="1" applyProtection="1">
      <alignment vertical="center"/>
      <protection hidden="1"/>
    </xf>
    <xf numFmtId="0" fontId="43" fillId="34" borderId="22" xfId="0" applyFont="1" applyFill="1" applyBorder="1"/>
    <xf numFmtId="0" fontId="43" fillId="34" borderId="15" xfId="0" applyFont="1" applyFill="1" applyBorder="1"/>
    <xf numFmtId="40" fontId="43" fillId="34" borderId="28" xfId="33" applyNumberFormat="1" applyFont="1" applyFill="1" applyBorder="1" applyAlignment="1" applyProtection="1">
      <alignment vertical="center"/>
      <protection hidden="1"/>
    </xf>
    <xf numFmtId="0" fontId="43" fillId="34" borderId="28" xfId="0" applyFont="1" applyFill="1" applyBorder="1"/>
    <xf numFmtId="0" fontId="43" fillId="34" borderId="74" xfId="0" applyFont="1" applyFill="1" applyBorder="1"/>
    <xf numFmtId="40" fontId="43" fillId="34" borderId="18" xfId="33" applyNumberFormat="1" applyFont="1" applyFill="1" applyBorder="1" applyAlignment="1" applyProtection="1">
      <alignment vertical="center"/>
      <protection hidden="1"/>
    </xf>
    <xf numFmtId="0" fontId="43" fillId="34" borderId="18" xfId="0" applyFont="1" applyFill="1" applyBorder="1"/>
    <xf numFmtId="0" fontId="43" fillId="34" borderId="75" xfId="0" applyFont="1" applyFill="1" applyBorder="1"/>
    <xf numFmtId="0" fontId="58" fillId="0" borderId="0" xfId="0" applyFont="1" applyAlignment="1">
      <alignment horizontal="center" vertical="center"/>
    </xf>
    <xf numFmtId="0" fontId="58" fillId="0" borderId="0" xfId="0" applyFont="1" applyAlignment="1">
      <alignment horizontal="left" vertical="center"/>
    </xf>
    <xf numFmtId="0" fontId="58" fillId="0" borderId="0" xfId="0" applyFont="1" applyAlignment="1">
      <alignment vertical="center"/>
    </xf>
    <xf numFmtId="0" fontId="58" fillId="0" borderId="28" xfId="0" applyFont="1" applyBorder="1" applyAlignment="1">
      <alignment horizontal="center" vertical="center"/>
    </xf>
    <xf numFmtId="0" fontId="60" fillId="36" borderId="28" xfId="0" applyFont="1" applyFill="1" applyBorder="1" applyAlignment="1">
      <alignment horizontal="center" vertical="center"/>
    </xf>
    <xf numFmtId="0" fontId="61" fillId="0" borderId="0" xfId="0" applyFont="1" applyAlignment="1">
      <alignment vertical="center"/>
    </xf>
    <xf numFmtId="56" fontId="58" fillId="0" borderId="0" xfId="0" applyNumberFormat="1" applyFont="1" applyAlignment="1">
      <alignment vertical="center"/>
    </xf>
    <xf numFmtId="0" fontId="58" fillId="0" borderId="0" xfId="0" applyFont="1" applyAlignment="1">
      <alignment horizontal="right" vertical="center"/>
    </xf>
    <xf numFmtId="0" fontId="62" fillId="0" borderId="0" xfId="0" applyFont="1" applyAlignment="1">
      <alignment vertical="center"/>
    </xf>
    <xf numFmtId="0" fontId="63" fillId="0" borderId="0" xfId="0" applyFont="1" applyAlignment="1">
      <alignment vertical="center"/>
    </xf>
    <xf numFmtId="0" fontId="64" fillId="0" borderId="0" xfId="0" applyFont="1" applyAlignment="1">
      <alignment vertical="center"/>
    </xf>
    <xf numFmtId="0" fontId="58" fillId="0" borderId="28" xfId="0" applyFont="1" applyBorder="1" applyAlignment="1">
      <alignment vertical="center"/>
    </xf>
    <xf numFmtId="0" fontId="58" fillId="37" borderId="28" xfId="0" applyFont="1" applyFill="1" applyBorder="1" applyAlignment="1">
      <alignment horizontal="center" vertical="center"/>
    </xf>
    <xf numFmtId="0" fontId="65" fillId="0" borderId="0" xfId="0" applyFont="1" applyBorder="1" applyAlignment="1">
      <alignment horizontal="center" vertical="center"/>
    </xf>
    <xf numFmtId="0" fontId="58" fillId="0" borderId="28" xfId="0" applyFont="1" applyBorder="1" applyAlignment="1">
      <alignment horizontal="center" vertical="center" wrapText="1"/>
    </xf>
    <xf numFmtId="56" fontId="58" fillId="0" borderId="28" xfId="0" applyNumberFormat="1" applyFont="1" applyBorder="1" applyAlignment="1">
      <alignment vertical="center"/>
    </xf>
    <xf numFmtId="56" fontId="58" fillId="0" borderId="28" xfId="0" applyNumberFormat="1" applyFont="1" applyBorder="1" applyAlignment="1">
      <alignment horizontal="center" vertical="center"/>
    </xf>
    <xf numFmtId="56" fontId="65" fillId="0" borderId="0" xfId="0" applyNumberFormat="1" applyFont="1" applyAlignment="1">
      <alignment vertical="center"/>
    </xf>
    <xf numFmtId="56" fontId="58" fillId="30" borderId="28" xfId="0" applyNumberFormat="1" applyFont="1" applyFill="1" applyBorder="1" applyAlignment="1">
      <alignment vertical="center"/>
    </xf>
    <xf numFmtId="0" fontId="34" fillId="0" borderId="0" xfId="0" applyNumberFormat="1" applyFont="1" applyBorder="1" applyAlignment="1">
      <alignment vertical="center"/>
    </xf>
    <xf numFmtId="0" fontId="34" fillId="0" borderId="65" xfId="0" applyNumberFormat="1" applyFont="1" applyBorder="1" applyAlignment="1">
      <alignment vertical="center"/>
    </xf>
    <xf numFmtId="0" fontId="34" fillId="0" borderId="0" xfId="0" applyNumberFormat="1" applyFont="1" applyAlignment="1">
      <alignment vertical="center"/>
    </xf>
    <xf numFmtId="0" fontId="34" fillId="0" borderId="66" xfId="0" applyNumberFormat="1" applyFont="1" applyBorder="1" applyAlignment="1">
      <alignment vertical="center"/>
    </xf>
    <xf numFmtId="0" fontId="43" fillId="0" borderId="0" xfId="0" applyFont="1" applyAlignment="1">
      <alignment horizontal="center"/>
    </xf>
    <xf numFmtId="188" fontId="43" fillId="0" borderId="0" xfId="0" applyNumberFormat="1" applyFont="1"/>
    <xf numFmtId="188" fontId="43" fillId="0" borderId="0" xfId="0" applyNumberFormat="1" applyFont="1" applyAlignment="1">
      <alignment vertical="center"/>
    </xf>
    <xf numFmtId="0" fontId="66" fillId="0" borderId="0" xfId="0" applyFont="1" applyAlignment="1">
      <alignment vertical="center"/>
    </xf>
    <xf numFmtId="0" fontId="66" fillId="0" borderId="0" xfId="0" applyFont="1" applyFill="1" applyAlignment="1">
      <alignment vertical="center"/>
    </xf>
    <xf numFmtId="0" fontId="66" fillId="0" borderId="0" xfId="0" applyFont="1" applyBorder="1" applyAlignment="1">
      <alignment vertical="center"/>
    </xf>
    <xf numFmtId="190" fontId="35" fillId="0" borderId="0" xfId="0" applyNumberFormat="1" applyFont="1" applyAlignment="1">
      <alignment vertical="center"/>
    </xf>
    <xf numFmtId="0" fontId="34" fillId="0" borderId="0" xfId="0" applyNumberFormat="1" applyFont="1" applyFill="1" applyAlignment="1">
      <alignment vertical="center"/>
    </xf>
    <xf numFmtId="0" fontId="34" fillId="0" borderId="0" xfId="0" applyNumberFormat="1" applyFont="1" applyFill="1" applyAlignment="1">
      <alignment horizontal="center" vertical="center"/>
    </xf>
    <xf numFmtId="188" fontId="54" fillId="0" borderId="0" xfId="0" applyNumberFormat="1" applyFont="1" applyAlignment="1">
      <alignment vertical="center"/>
    </xf>
    <xf numFmtId="183" fontId="0" fillId="31" borderId="28" xfId="0" applyNumberFormat="1" applyFont="1" applyFill="1" applyBorder="1" applyAlignment="1" applyProtection="1">
      <alignment horizontal="right" vertical="center"/>
      <protection locked="0"/>
    </xf>
    <xf numFmtId="14" fontId="34" fillId="0" borderId="0" xfId="0" applyNumberFormat="1" applyFont="1" applyFill="1" applyAlignment="1">
      <alignment vertical="center"/>
    </xf>
    <xf numFmtId="0" fontId="36" fillId="0" borderId="0" xfId="0" applyFont="1" applyAlignment="1">
      <alignment vertical="center"/>
    </xf>
    <xf numFmtId="0" fontId="66" fillId="0" borderId="0" xfId="43" applyFont="1" applyBorder="1" applyAlignment="1">
      <alignment vertical="center"/>
    </xf>
    <xf numFmtId="0" fontId="66" fillId="0" borderId="0" xfId="43" applyFont="1" applyBorder="1" applyAlignment="1">
      <alignment horizontal="right" vertical="center"/>
    </xf>
    <xf numFmtId="0" fontId="66" fillId="0" borderId="0" xfId="43" applyFont="1" applyAlignment="1">
      <alignment vertical="center"/>
    </xf>
    <xf numFmtId="190" fontId="66" fillId="0" borderId="0" xfId="0" applyNumberFormat="1" applyFont="1" applyAlignment="1">
      <alignment horizontal="center" vertical="center"/>
    </xf>
    <xf numFmtId="0" fontId="68" fillId="0" borderId="0" xfId="0" applyFont="1" applyBorder="1" applyAlignment="1">
      <alignment vertical="center"/>
    </xf>
    <xf numFmtId="0" fontId="69" fillId="0" borderId="26" xfId="0" applyFont="1" applyBorder="1" applyAlignment="1">
      <alignment vertical="center"/>
    </xf>
    <xf numFmtId="0" fontId="66" fillId="0" borderId="63" xfId="0" applyFont="1" applyBorder="1" applyAlignment="1">
      <alignment vertical="center"/>
    </xf>
    <xf numFmtId="0" fontId="69" fillId="0" borderId="63" xfId="0" applyFont="1" applyBorder="1" applyAlignment="1">
      <alignment vertical="center"/>
    </xf>
    <xf numFmtId="0" fontId="68" fillId="0" borderId="63" xfId="0" applyFont="1" applyBorder="1" applyAlignment="1">
      <alignment horizontal="right" vertical="center"/>
    </xf>
    <xf numFmtId="0" fontId="68" fillId="0" borderId="63" xfId="0" applyFont="1" applyBorder="1" applyAlignment="1">
      <alignment vertical="center"/>
    </xf>
    <xf numFmtId="0" fontId="68" fillId="0" borderId="51" xfId="0" applyFont="1" applyBorder="1" applyAlignment="1">
      <alignment vertical="center"/>
    </xf>
    <xf numFmtId="0" fontId="69" fillId="0" borderId="28" xfId="0" applyFont="1" applyBorder="1" applyAlignment="1">
      <alignment horizontal="center" vertical="center"/>
    </xf>
    <xf numFmtId="0" fontId="69" fillId="0" borderId="91" xfId="0" applyFont="1" applyBorder="1" applyAlignment="1">
      <alignment horizontal="center" vertical="center"/>
    </xf>
    <xf numFmtId="0" fontId="69" fillId="0" borderId="92" xfId="0" applyFont="1" applyFill="1" applyBorder="1" applyAlignment="1">
      <alignment horizontal="center" vertical="center"/>
    </xf>
    <xf numFmtId="0" fontId="70" fillId="0" borderId="94" xfId="0" applyFont="1" applyBorder="1" applyAlignment="1">
      <alignment horizontal="center" vertical="center"/>
    </xf>
    <xf numFmtId="0" fontId="70" fillId="0" borderId="95" xfId="0" applyFont="1" applyBorder="1" applyAlignment="1">
      <alignment horizontal="center" vertical="center"/>
    </xf>
    <xf numFmtId="0" fontId="70" fillId="0" borderId="96" xfId="0" applyFont="1" applyBorder="1" applyAlignment="1">
      <alignment horizontal="center" vertical="center"/>
    </xf>
    <xf numFmtId="0" fontId="70" fillId="0" borderId="97" xfId="0" applyFont="1" applyBorder="1" applyAlignment="1">
      <alignment horizontal="center" vertical="center"/>
    </xf>
    <xf numFmtId="0" fontId="70" fillId="0" borderId="28" xfId="0" applyFont="1" applyBorder="1" applyAlignment="1">
      <alignment horizontal="center" vertical="center"/>
    </xf>
    <xf numFmtId="0" fontId="69" fillId="0" borderId="98" xfId="0" applyFont="1" applyBorder="1" applyAlignment="1">
      <alignment horizontal="left" vertical="center"/>
    </xf>
    <xf numFmtId="0" fontId="69" fillId="0" borderId="99" xfId="0" applyFont="1" applyBorder="1" applyAlignment="1">
      <alignment vertical="center"/>
    </xf>
    <xf numFmtId="0" fontId="69" fillId="0" borderId="100" xfId="0" applyFont="1" applyBorder="1" applyAlignment="1">
      <alignment vertical="center"/>
    </xf>
    <xf numFmtId="0" fontId="69" fillId="0" borderId="101" xfId="0" applyFont="1" applyBorder="1" applyAlignment="1">
      <alignment vertical="center"/>
    </xf>
    <xf numFmtId="0" fontId="69" fillId="0" borderId="103" xfId="0" applyFont="1" applyBorder="1" applyAlignment="1">
      <alignment horizontal="left" vertical="center"/>
    </xf>
    <xf numFmtId="0" fontId="69" fillId="0" borderId="104" xfId="0" applyFont="1" applyBorder="1" applyAlignment="1">
      <alignment vertical="center"/>
    </xf>
    <xf numFmtId="0" fontId="69" fillId="0" borderId="105" xfId="0" applyFont="1" applyBorder="1" applyAlignment="1">
      <alignment vertical="center"/>
    </xf>
    <xf numFmtId="0" fontId="69" fillId="0" borderId="106" xfId="0" applyFont="1" applyBorder="1" applyAlignment="1">
      <alignment vertical="center"/>
    </xf>
    <xf numFmtId="0" fontId="69" fillId="0" borderId="110" xfId="0" applyFont="1" applyBorder="1" applyAlignment="1">
      <alignment horizontal="left" vertical="center"/>
    </xf>
    <xf numFmtId="0" fontId="69" fillId="0" borderId="111" xfId="0" applyFont="1" applyBorder="1" applyAlignment="1">
      <alignment vertical="center"/>
    </xf>
    <xf numFmtId="0" fontId="69" fillId="0" borderId="112" xfId="0" applyFont="1" applyBorder="1" applyAlignment="1">
      <alignment vertical="center"/>
    </xf>
    <xf numFmtId="0" fontId="69" fillId="0" borderId="113" xfId="0" applyFont="1" applyBorder="1" applyAlignment="1">
      <alignment vertical="center"/>
    </xf>
    <xf numFmtId="0" fontId="69" fillId="0" borderId="114" xfId="0" applyFont="1" applyBorder="1" applyAlignment="1">
      <alignment horizontal="left" vertical="center"/>
    </xf>
    <xf numFmtId="0" fontId="69" fillId="0" borderId="115" xfId="0" applyFont="1" applyBorder="1" applyAlignment="1">
      <alignment vertical="center"/>
    </xf>
    <xf numFmtId="0" fontId="69" fillId="0" borderId="116" xfId="0" applyFont="1" applyBorder="1" applyAlignment="1">
      <alignment vertical="center"/>
    </xf>
    <xf numFmtId="0" fontId="69" fillId="0" borderId="117" xfId="0" applyFont="1" applyBorder="1" applyAlignment="1">
      <alignment vertical="center"/>
    </xf>
    <xf numFmtId="0" fontId="69" fillId="0" borderId="118" xfId="0" applyFont="1" applyBorder="1" applyAlignment="1">
      <alignment horizontal="left" vertical="center"/>
    </xf>
    <xf numFmtId="0" fontId="69" fillId="0" borderId="125" xfId="0" applyFont="1" applyBorder="1" applyAlignment="1">
      <alignment horizontal="left" vertical="center"/>
    </xf>
    <xf numFmtId="0" fontId="69" fillId="0" borderId="126" xfId="0" applyFont="1" applyBorder="1" applyAlignment="1">
      <alignment vertical="center"/>
    </xf>
    <xf numFmtId="0" fontId="69" fillId="0" borderId="127" xfId="0" applyFont="1" applyBorder="1" applyAlignment="1">
      <alignment vertical="center"/>
    </xf>
    <xf numFmtId="0" fontId="69" fillId="0" borderId="128" xfId="0" applyFont="1" applyBorder="1" applyAlignment="1">
      <alignment vertical="center"/>
    </xf>
    <xf numFmtId="0" fontId="69" fillId="0" borderId="26" xfId="0" applyFont="1" applyBorder="1" applyAlignment="1">
      <alignment horizontal="left" vertical="center"/>
    </xf>
    <xf numFmtId="0" fontId="66" fillId="0" borderId="0" xfId="0" applyFont="1"/>
    <xf numFmtId="0" fontId="66" fillId="0" borderId="0" xfId="43" applyFont="1" applyAlignment="1">
      <alignment horizontal="center" vertical="center"/>
    </xf>
    <xf numFmtId="0" fontId="69" fillId="0" borderId="92" xfId="0" applyFont="1" applyBorder="1" applyAlignment="1">
      <alignment horizontal="center" vertical="center"/>
    </xf>
    <xf numFmtId="0" fontId="69" fillId="0" borderId="93" xfId="0" applyFont="1" applyBorder="1" applyAlignment="1">
      <alignment horizontal="center" vertical="center"/>
    </xf>
    <xf numFmtId="0" fontId="69" fillId="38" borderId="63" xfId="0" applyFont="1" applyFill="1" applyBorder="1" applyAlignment="1">
      <alignment vertical="center"/>
    </xf>
    <xf numFmtId="0" fontId="69" fillId="38" borderId="119" xfId="0" applyFont="1" applyFill="1" applyBorder="1" applyAlignment="1">
      <alignment vertical="center"/>
    </xf>
    <xf numFmtId="0" fontId="69" fillId="38" borderId="120" xfId="0" applyFont="1" applyFill="1" applyBorder="1" applyAlignment="1">
      <alignment vertical="center"/>
    </xf>
    <xf numFmtId="0" fontId="69" fillId="38" borderId="94" xfId="0" applyFont="1" applyFill="1" applyBorder="1" applyAlignment="1">
      <alignment vertical="center"/>
    </xf>
    <xf numFmtId="0" fontId="69" fillId="38" borderId="95" xfId="0" applyFont="1" applyFill="1" applyBorder="1" applyAlignment="1">
      <alignment vertical="center"/>
    </xf>
    <xf numFmtId="0" fontId="69" fillId="38" borderId="97" xfId="0" applyFont="1" applyFill="1" applyBorder="1" applyAlignment="1">
      <alignment vertical="center"/>
    </xf>
    <xf numFmtId="0" fontId="66" fillId="0" borderId="0" xfId="0" applyFont="1" applyAlignment="1">
      <alignment horizontal="center"/>
    </xf>
    <xf numFmtId="0" fontId="72" fillId="0" borderId="0" xfId="0" applyFont="1" applyAlignment="1">
      <alignment horizontal="left"/>
    </xf>
    <xf numFmtId="0" fontId="72" fillId="38" borderId="28" xfId="0" applyFont="1" applyFill="1" applyBorder="1" applyAlignment="1">
      <alignment horizontal="left"/>
    </xf>
    <xf numFmtId="0" fontId="73" fillId="0" borderId="47" xfId="0" applyFont="1" applyBorder="1" applyAlignment="1">
      <alignment horizontal="center" vertical="center"/>
    </xf>
    <xf numFmtId="0" fontId="73" fillId="0" borderId="144" xfId="0" applyFont="1" applyBorder="1" applyAlignment="1">
      <alignment horizontal="center" vertical="center"/>
    </xf>
    <xf numFmtId="0" fontId="73" fillId="0" borderId="143" xfId="0" applyFont="1" applyBorder="1" applyAlignment="1">
      <alignment horizontal="center" vertical="center"/>
    </xf>
    <xf numFmtId="0" fontId="73" fillId="0" borderId="18" xfId="0" applyFont="1" applyBorder="1" applyAlignment="1">
      <alignment horizontal="center" vertical="center"/>
    </xf>
    <xf numFmtId="0" fontId="73" fillId="0" borderId="17" xfId="0" applyFont="1" applyBorder="1" applyAlignment="1">
      <alignment horizontal="center" vertical="center"/>
    </xf>
    <xf numFmtId="0" fontId="73" fillId="0" borderId="26" xfId="0" applyFont="1" applyBorder="1" applyAlignment="1">
      <alignment horizontal="center" vertical="center"/>
    </xf>
    <xf numFmtId="0" fontId="73" fillId="0" borderId="51" xfId="0" applyFont="1" applyBorder="1" applyAlignment="1">
      <alignment horizontal="center" vertical="center"/>
    </xf>
    <xf numFmtId="0" fontId="73" fillId="0" borderId="139" xfId="0" applyFont="1" applyBorder="1" applyAlignment="1">
      <alignment horizontal="center" vertical="center"/>
    </xf>
    <xf numFmtId="0" fontId="73" fillId="0" borderId="138" xfId="0" applyFont="1" applyBorder="1" applyAlignment="1">
      <alignment horizontal="center" vertical="center"/>
    </xf>
    <xf numFmtId="0" fontId="73" fillId="0" borderId="28" xfId="0" applyFont="1" applyBorder="1" applyAlignment="1">
      <alignment horizontal="center" vertical="center"/>
    </xf>
    <xf numFmtId="0" fontId="73" fillId="0" borderId="27" xfId="0" applyFont="1" applyBorder="1" applyAlignment="1">
      <alignment horizontal="center" vertical="center"/>
    </xf>
    <xf numFmtId="0" fontId="66" fillId="0" borderId="0" xfId="0" applyFont="1" applyAlignment="1">
      <alignment horizontal="center" vertical="center"/>
    </xf>
    <xf numFmtId="0" fontId="73" fillId="0" borderId="0" xfId="0" applyFont="1" applyAlignment="1">
      <alignment vertical="center"/>
    </xf>
    <xf numFmtId="0" fontId="73" fillId="0" borderId="11" xfId="0" applyFont="1" applyBorder="1" applyAlignment="1">
      <alignment vertical="center"/>
    </xf>
    <xf numFmtId="0" fontId="43" fillId="0" borderId="0" xfId="0" applyFont="1" applyAlignment="1">
      <alignment vertical="center"/>
    </xf>
    <xf numFmtId="0" fontId="43" fillId="0" borderId="37" xfId="0" applyFont="1" applyBorder="1" applyAlignment="1">
      <alignment vertical="center"/>
    </xf>
    <xf numFmtId="0" fontId="43" fillId="0" borderId="10" xfId="0" applyFont="1" applyBorder="1" applyAlignment="1">
      <alignment vertical="center"/>
    </xf>
    <xf numFmtId="0" fontId="43" fillId="0" borderId="20" xfId="0" applyFont="1" applyBorder="1" applyAlignment="1">
      <alignment horizontal="center" vertical="center"/>
    </xf>
    <xf numFmtId="0" fontId="43" fillId="0" borderId="25" xfId="0" applyFont="1" applyBorder="1" applyAlignment="1">
      <alignment horizontal="center" vertical="center"/>
    </xf>
    <xf numFmtId="0" fontId="43" fillId="0" borderId="0" xfId="0" applyFont="1"/>
    <xf numFmtId="0" fontId="49" fillId="0" borderId="56" xfId="0" applyFont="1" applyFill="1" applyBorder="1" applyAlignment="1">
      <alignment horizontal="center" vertical="center"/>
    </xf>
    <xf numFmtId="0" fontId="50" fillId="0" borderId="0" xfId="0" applyFont="1" applyFill="1" applyBorder="1" applyAlignment="1">
      <alignment horizontal="center" vertical="center"/>
    </xf>
    <xf numFmtId="0" fontId="43" fillId="0" borderId="0" xfId="0" applyFont="1" applyBorder="1"/>
    <xf numFmtId="0" fontId="43" fillId="0" borderId="34" xfId="0" applyFont="1" applyBorder="1" applyAlignment="1">
      <alignment vertical="center"/>
    </xf>
    <xf numFmtId="0" fontId="43" fillId="0" borderId="12" xfId="0" applyFont="1" applyBorder="1" applyAlignment="1">
      <alignment horizontal="center" vertical="center"/>
    </xf>
    <xf numFmtId="0" fontId="43" fillId="0" borderId="40" xfId="0" applyFont="1" applyBorder="1" applyAlignment="1">
      <alignment horizontal="center" vertical="center"/>
    </xf>
    <xf numFmtId="179" fontId="34" fillId="0" borderId="22" xfId="0" applyNumberFormat="1" applyFont="1" applyFill="1" applyBorder="1" applyAlignment="1">
      <alignment horizontal="center" vertical="center"/>
    </xf>
    <xf numFmtId="179" fontId="34" fillId="29" borderId="22" xfId="0" applyNumberFormat="1" applyFont="1" applyFill="1" applyBorder="1" applyAlignment="1">
      <alignment horizontal="center" vertical="center"/>
    </xf>
    <xf numFmtId="179" fontId="34" fillId="29" borderId="13" xfId="0" applyNumberFormat="1" applyFont="1" applyFill="1" applyBorder="1" applyAlignment="1">
      <alignment horizontal="center" vertical="center"/>
    </xf>
    <xf numFmtId="179" fontId="34" fillId="29" borderId="55" xfId="0" applyNumberFormat="1" applyFont="1" applyFill="1" applyBorder="1" applyAlignment="1">
      <alignment horizontal="center" vertical="center"/>
    </xf>
    <xf numFmtId="0" fontId="43" fillId="0" borderId="41" xfId="0" applyFont="1" applyBorder="1" applyAlignment="1">
      <alignment vertical="center"/>
    </xf>
    <xf numFmtId="0" fontId="43" fillId="0" borderId="18" xfId="0" applyFont="1" applyBorder="1" applyAlignment="1">
      <alignment horizontal="center" vertical="center"/>
    </xf>
    <xf numFmtId="0" fontId="43" fillId="0" borderId="31" xfId="0" applyFont="1" applyBorder="1" applyAlignment="1">
      <alignment horizontal="center" vertical="center"/>
    </xf>
    <xf numFmtId="0" fontId="43" fillId="0" borderId="22" xfId="0" applyFont="1" applyBorder="1" applyAlignment="1">
      <alignment vertical="center"/>
    </xf>
    <xf numFmtId="0" fontId="43" fillId="32" borderId="15" xfId="0" applyFont="1" applyFill="1" applyBorder="1" applyAlignment="1">
      <alignment vertical="center"/>
    </xf>
    <xf numFmtId="0" fontId="43" fillId="0" borderId="26" xfId="0" applyFont="1" applyBorder="1" applyAlignment="1">
      <alignment horizontal="center" vertical="center"/>
    </xf>
    <xf numFmtId="0" fontId="43" fillId="0" borderId="28" xfId="0" applyFont="1" applyBorder="1" applyAlignment="1">
      <alignment vertical="center"/>
    </xf>
    <xf numFmtId="0" fontId="43" fillId="32" borderId="74" xfId="0" applyFont="1" applyFill="1" applyBorder="1" applyAlignment="1">
      <alignment vertical="center"/>
    </xf>
    <xf numFmtId="0" fontId="43" fillId="0" borderId="30" xfId="0" applyFont="1" applyBorder="1" applyAlignment="1">
      <alignment horizontal="center" vertical="center"/>
    </xf>
    <xf numFmtId="0" fontId="43" fillId="0" borderId="18" xfId="0" applyFont="1" applyBorder="1" applyAlignment="1">
      <alignment vertical="center"/>
    </xf>
    <xf numFmtId="0" fontId="43" fillId="32" borderId="75" xfId="0" applyFont="1" applyFill="1" applyBorder="1" applyAlignment="1">
      <alignment vertical="center"/>
    </xf>
    <xf numFmtId="184" fontId="43" fillId="0" borderId="67" xfId="0" applyNumberFormat="1" applyFont="1" applyFill="1" applyBorder="1" applyAlignment="1" applyProtection="1">
      <alignment vertical="center"/>
      <protection hidden="1"/>
    </xf>
    <xf numFmtId="0" fontId="43" fillId="0" borderId="16" xfId="0" applyFont="1" applyBorder="1" applyAlignment="1">
      <alignment horizontal="center" vertical="center"/>
    </xf>
    <xf numFmtId="0" fontId="43" fillId="0" borderId="22" xfId="0" applyFont="1" applyBorder="1" applyAlignment="1" applyProtection="1">
      <alignment vertical="center"/>
      <protection locked="0"/>
    </xf>
    <xf numFmtId="0" fontId="43" fillId="0" borderId="37" xfId="0" applyFont="1" applyBorder="1" applyAlignment="1">
      <alignment horizontal="center" vertical="center"/>
    </xf>
    <xf numFmtId="0" fontId="43" fillId="0" borderId="42" xfId="0" applyFont="1" applyBorder="1" applyAlignment="1">
      <alignment horizontal="center" vertical="center"/>
    </xf>
    <xf numFmtId="0" fontId="43" fillId="0" borderId="28" xfId="0" applyFont="1" applyBorder="1" applyAlignment="1" applyProtection="1">
      <alignment vertical="center"/>
      <protection locked="0"/>
    </xf>
    <xf numFmtId="0" fontId="43" fillId="0" borderId="28" xfId="0" applyFont="1" applyFill="1" applyBorder="1" applyAlignment="1" applyProtection="1">
      <alignment vertical="center"/>
      <protection locked="0"/>
    </xf>
    <xf numFmtId="0" fontId="43" fillId="0" borderId="0" xfId="0" applyFont="1" applyBorder="1" applyAlignment="1">
      <alignment horizontal="center" vertical="center" wrapText="1"/>
    </xf>
    <xf numFmtId="0" fontId="43" fillId="0" borderId="29" xfId="0" applyFont="1" applyBorder="1" applyAlignment="1" applyProtection="1">
      <alignment vertical="center"/>
      <protection locked="0"/>
    </xf>
    <xf numFmtId="0" fontId="43" fillId="0" borderId="10" xfId="0" applyFont="1" applyBorder="1" applyAlignment="1">
      <alignment horizontal="center" vertical="center"/>
    </xf>
    <xf numFmtId="0" fontId="43" fillId="0" borderId="19" xfId="0" applyFont="1" applyBorder="1" applyAlignment="1">
      <alignment horizontal="center" vertical="center"/>
    </xf>
    <xf numFmtId="0" fontId="43" fillId="0" borderId="18" xfId="0" applyFont="1" applyBorder="1" applyAlignment="1" applyProtection="1">
      <alignment vertical="center"/>
      <protection locked="0"/>
    </xf>
    <xf numFmtId="0" fontId="43" fillId="0" borderId="32" xfId="0" applyFont="1" applyBorder="1" applyAlignment="1">
      <alignment vertical="center"/>
    </xf>
    <xf numFmtId="0" fontId="43" fillId="0" borderId="32" xfId="0" applyFont="1" applyBorder="1" applyAlignment="1" applyProtection="1">
      <alignment vertical="center"/>
      <protection locked="0"/>
    </xf>
    <xf numFmtId="0" fontId="43" fillId="0" borderId="33" xfId="0" applyFont="1" applyBorder="1" applyAlignment="1">
      <alignment horizontal="center" vertical="center"/>
    </xf>
    <xf numFmtId="0" fontId="43" fillId="0" borderId="34" xfId="0" applyFont="1" applyBorder="1" applyAlignment="1" applyProtection="1">
      <alignment vertical="center"/>
      <protection locked="0"/>
    </xf>
    <xf numFmtId="0" fontId="43" fillId="0" borderId="13" xfId="0" applyFont="1" applyBorder="1" applyAlignment="1">
      <alignment horizontal="center" vertical="center"/>
    </xf>
    <xf numFmtId="0" fontId="43" fillId="0" borderId="29" xfId="0" applyFont="1" applyBorder="1" applyAlignment="1">
      <alignment vertical="center"/>
    </xf>
    <xf numFmtId="0" fontId="43" fillId="0" borderId="11" xfId="0" applyFont="1" applyBorder="1" applyAlignment="1">
      <alignment horizontal="center" vertical="center"/>
    </xf>
    <xf numFmtId="0" fontId="43" fillId="0" borderId="44" xfId="0" applyFont="1" applyFill="1" applyBorder="1" applyAlignment="1">
      <alignment horizontal="center" vertical="center"/>
    </xf>
    <xf numFmtId="184" fontId="43" fillId="0" borderId="17" xfId="0" applyNumberFormat="1" applyFont="1" applyFill="1" applyBorder="1" applyAlignment="1" applyProtection="1">
      <alignment vertical="center"/>
      <protection hidden="1"/>
    </xf>
    <xf numFmtId="0" fontId="43" fillId="0" borderId="28" xfId="0" applyNumberFormat="1" applyFont="1" applyFill="1" applyBorder="1" applyAlignment="1" applyProtection="1">
      <alignment vertical="center"/>
      <protection hidden="1"/>
    </xf>
    <xf numFmtId="184" fontId="43" fillId="0" borderId="32" xfId="0" applyNumberFormat="1" applyFont="1" applyFill="1" applyBorder="1" applyAlignment="1" applyProtection="1">
      <alignment vertical="center"/>
      <protection hidden="1"/>
    </xf>
    <xf numFmtId="0" fontId="43" fillId="0" borderId="32" xfId="0" applyNumberFormat="1" applyFont="1" applyFill="1" applyBorder="1" applyAlignment="1" applyProtection="1">
      <alignment vertical="center"/>
      <protection hidden="1"/>
    </xf>
    <xf numFmtId="184" fontId="43" fillId="0" borderId="18" xfId="0" applyNumberFormat="1" applyFont="1" applyFill="1" applyBorder="1" applyAlignment="1" applyProtection="1">
      <alignment vertical="center"/>
      <protection hidden="1"/>
    </xf>
    <xf numFmtId="0" fontId="43" fillId="0" borderId="18" xfId="0" applyNumberFormat="1" applyFont="1" applyFill="1" applyBorder="1" applyAlignment="1" applyProtection="1">
      <alignment vertical="center"/>
      <protection hidden="1"/>
    </xf>
    <xf numFmtId="178" fontId="43" fillId="0" borderId="0" xfId="0" applyNumberFormat="1" applyFont="1"/>
    <xf numFmtId="179" fontId="47" fillId="0" borderId="0" xfId="0" applyNumberFormat="1" applyFont="1" applyAlignment="1" applyProtection="1">
      <alignment horizontal="left" vertical="center"/>
      <protection hidden="1"/>
    </xf>
    <xf numFmtId="0" fontId="43" fillId="0" borderId="47" xfId="0" applyFont="1" applyBorder="1" applyAlignment="1">
      <alignment horizontal="center" vertical="center"/>
    </xf>
    <xf numFmtId="179" fontId="34" fillId="0" borderId="14" xfId="0" applyNumberFormat="1" applyFont="1" applyFill="1" applyBorder="1" applyAlignment="1">
      <alignment horizontal="center" vertical="center"/>
    </xf>
    <xf numFmtId="184" fontId="43" fillId="0" borderId="10" xfId="0" applyNumberFormat="1" applyFont="1" applyFill="1" applyBorder="1" applyAlignment="1" applyProtection="1">
      <alignment vertical="center"/>
      <protection hidden="1"/>
    </xf>
    <xf numFmtId="0" fontId="43" fillId="0" borderId="50" xfId="0" applyFont="1" applyBorder="1" applyAlignment="1">
      <alignment vertical="center"/>
    </xf>
    <xf numFmtId="0" fontId="43" fillId="0" borderId="51" xfId="0" applyFont="1" applyBorder="1" applyAlignment="1">
      <alignment vertical="center"/>
    </xf>
    <xf numFmtId="0" fontId="43" fillId="0" borderId="47" xfId="0" applyFont="1" applyBorder="1" applyAlignment="1">
      <alignment vertical="center"/>
    </xf>
    <xf numFmtId="0" fontId="43" fillId="0" borderId="65" xfId="0" applyFont="1" applyBorder="1" applyAlignment="1">
      <alignment vertical="center"/>
    </xf>
    <xf numFmtId="0" fontId="43" fillId="0" borderId="52" xfId="0" applyFont="1" applyBorder="1" applyAlignment="1">
      <alignment vertical="center"/>
    </xf>
    <xf numFmtId="0" fontId="43" fillId="0" borderId="53" xfId="0" applyFont="1" applyBorder="1" applyAlignment="1">
      <alignment vertical="center"/>
    </xf>
    <xf numFmtId="0" fontId="43" fillId="0" borderId="66" xfId="0" applyFont="1" applyBorder="1" applyAlignment="1">
      <alignment vertical="center"/>
    </xf>
    <xf numFmtId="0" fontId="43" fillId="0" borderId="54" xfId="0" applyFont="1" applyBorder="1" applyAlignment="1">
      <alignment vertical="center"/>
    </xf>
    <xf numFmtId="0" fontId="43" fillId="0" borderId="28" xfId="0" applyFont="1" applyBorder="1" applyAlignment="1">
      <alignment horizontal="center" vertical="center"/>
    </xf>
    <xf numFmtId="0" fontId="43" fillId="0" borderId="0" xfId="0" applyFont="1" applyFill="1" applyAlignment="1">
      <alignment vertical="center"/>
    </xf>
    <xf numFmtId="0" fontId="43" fillId="0" borderId="32" xfId="0" applyNumberFormat="1" applyFont="1" applyFill="1" applyBorder="1" applyAlignment="1" applyProtection="1">
      <alignment vertical="center"/>
      <protection locked="0"/>
    </xf>
    <xf numFmtId="0" fontId="43" fillId="0" borderId="28" xfId="0" applyNumberFormat="1" applyFont="1" applyFill="1" applyBorder="1" applyAlignment="1" applyProtection="1">
      <alignment vertical="center"/>
      <protection locked="0"/>
    </xf>
    <xf numFmtId="0" fontId="43" fillId="0" borderId="29" xfId="0" applyNumberFormat="1" applyFont="1" applyFill="1" applyBorder="1" applyAlignment="1" applyProtection="1">
      <alignment vertical="center"/>
      <protection locked="0"/>
    </xf>
    <xf numFmtId="0" fontId="43" fillId="0" borderId="22" xfId="0" applyNumberFormat="1" applyFont="1" applyFill="1" applyBorder="1" applyAlignment="1" applyProtection="1">
      <alignment vertical="center"/>
      <protection locked="0"/>
    </xf>
    <xf numFmtId="0" fontId="43" fillId="0" borderId="18" xfId="0" applyNumberFormat="1" applyFont="1" applyFill="1" applyBorder="1" applyAlignment="1" applyProtection="1">
      <alignment vertical="center"/>
      <protection locked="0"/>
    </xf>
    <xf numFmtId="0" fontId="43" fillId="0" borderId="0" xfId="0" applyFont="1" applyFill="1"/>
    <xf numFmtId="0" fontId="50" fillId="0" borderId="66" xfId="0" applyFont="1" applyFill="1" applyBorder="1" applyAlignment="1">
      <alignment horizontal="center" vertical="center"/>
    </xf>
    <xf numFmtId="0" fontId="43" fillId="0" borderId="66" xfId="0" applyFont="1" applyFill="1" applyBorder="1" applyAlignment="1">
      <alignment horizontal="center" vertical="center"/>
    </xf>
    <xf numFmtId="0" fontId="43" fillId="0" borderId="0" xfId="0" applyFont="1" applyFill="1" applyBorder="1" applyAlignment="1">
      <alignment horizontal="center" vertical="center"/>
    </xf>
    <xf numFmtId="190" fontId="43" fillId="0" borderId="0" xfId="0" applyNumberFormat="1" applyFont="1" applyBorder="1" applyAlignment="1">
      <alignment vertical="center"/>
    </xf>
    <xf numFmtId="190" fontId="43" fillId="0" borderId="0" xfId="0" applyNumberFormat="1" applyFont="1" applyBorder="1" applyAlignment="1">
      <alignment vertical="center" wrapText="1"/>
    </xf>
    <xf numFmtId="0" fontId="43" fillId="0" borderId="63" xfId="0" applyFont="1" applyFill="1" applyBorder="1" applyAlignment="1" applyProtection="1">
      <alignment vertical="center"/>
      <protection locked="0"/>
    </xf>
    <xf numFmtId="184" fontId="43" fillId="0" borderId="14" xfId="0" applyNumberFormat="1" applyFont="1" applyFill="1" applyBorder="1" applyAlignment="1" applyProtection="1">
      <alignment vertical="center"/>
      <protection hidden="1"/>
    </xf>
    <xf numFmtId="0" fontId="43" fillId="0" borderId="32" xfId="0" applyFont="1" applyFill="1" applyBorder="1" applyAlignment="1" applyProtection="1">
      <alignment vertical="center"/>
      <protection locked="0"/>
    </xf>
    <xf numFmtId="40" fontId="43" fillId="0" borderId="0" xfId="0" applyNumberFormat="1" applyFont="1"/>
    <xf numFmtId="179" fontId="34" fillId="29" borderId="15" xfId="0" applyNumberFormat="1" applyFont="1" applyFill="1" applyBorder="1" applyAlignment="1">
      <alignment horizontal="center" vertical="center"/>
    </xf>
    <xf numFmtId="0" fontId="43" fillId="0" borderId="55" xfId="0" applyFont="1" applyFill="1" applyBorder="1" applyAlignment="1" applyProtection="1">
      <alignment vertical="center"/>
      <protection locked="0"/>
    </xf>
    <xf numFmtId="0" fontId="43" fillId="0" borderId="66" xfId="0" applyFont="1" applyFill="1" applyBorder="1" applyAlignment="1" applyProtection="1">
      <alignment vertical="center"/>
      <protection locked="0"/>
    </xf>
    <xf numFmtId="0" fontId="43" fillId="0" borderId="64" xfId="0" applyFont="1" applyFill="1" applyBorder="1" applyAlignment="1" applyProtection="1">
      <alignment vertical="center"/>
      <protection locked="0"/>
    </xf>
    <xf numFmtId="0" fontId="43" fillId="0" borderId="65" xfId="0" applyFont="1" applyFill="1" applyBorder="1" applyAlignment="1" applyProtection="1">
      <alignment vertical="center"/>
      <protection locked="0"/>
    </xf>
    <xf numFmtId="0" fontId="43" fillId="0" borderId="29" xfId="33" applyNumberFormat="1" applyFont="1" applyFill="1" applyBorder="1" applyAlignment="1" applyProtection="1">
      <alignment vertical="center"/>
      <protection locked="0"/>
    </xf>
    <xf numFmtId="190" fontId="43" fillId="0" borderId="0" xfId="0" applyNumberFormat="1" applyFont="1" applyBorder="1"/>
    <xf numFmtId="40" fontId="43" fillId="0" borderId="0" xfId="0" applyNumberFormat="1" applyFont="1" applyFill="1" applyBorder="1"/>
    <xf numFmtId="0" fontId="43" fillId="34" borderId="48" xfId="0" applyFont="1" applyFill="1" applyBorder="1" applyAlignment="1">
      <alignment horizontal="center" vertical="center"/>
    </xf>
    <xf numFmtId="189" fontId="43" fillId="34" borderId="13" xfId="0" applyNumberFormat="1" applyFont="1" applyFill="1" applyBorder="1" applyAlignment="1">
      <alignment horizontal="right" vertical="center"/>
    </xf>
    <xf numFmtId="189" fontId="43" fillId="34" borderId="26" xfId="0" applyNumberFormat="1" applyFont="1" applyFill="1" applyBorder="1" applyAlignment="1">
      <alignment horizontal="right" vertical="center"/>
    </xf>
    <xf numFmtId="0" fontId="43" fillId="34" borderId="31" xfId="0" applyNumberFormat="1" applyFont="1" applyFill="1" applyBorder="1" applyAlignment="1">
      <alignment horizontal="right" vertical="center"/>
    </xf>
    <xf numFmtId="0" fontId="43" fillId="34" borderId="24" xfId="0" applyNumberFormat="1" applyFont="1" applyFill="1" applyBorder="1" applyAlignment="1" applyProtection="1">
      <alignment vertical="center"/>
      <protection locked="0"/>
    </xf>
    <xf numFmtId="0" fontId="43" fillId="34" borderId="26" xfId="0" applyNumberFormat="1" applyFont="1" applyFill="1" applyBorder="1" applyAlignment="1" applyProtection="1">
      <alignment vertical="center"/>
      <protection locked="0"/>
    </xf>
    <xf numFmtId="0" fontId="43" fillId="34" borderId="31" xfId="0" applyNumberFormat="1" applyFont="1" applyFill="1" applyBorder="1" applyAlignment="1" applyProtection="1">
      <alignment vertical="center"/>
      <protection locked="0"/>
    </xf>
    <xf numFmtId="0" fontId="43" fillId="34" borderId="31" xfId="33" applyNumberFormat="1" applyFont="1" applyFill="1" applyBorder="1" applyAlignment="1" applyProtection="1">
      <alignment vertical="center"/>
      <protection locked="0"/>
    </xf>
    <xf numFmtId="0" fontId="43" fillId="34" borderId="48" xfId="0" applyNumberFormat="1" applyFont="1" applyFill="1" applyBorder="1" applyAlignment="1" applyProtection="1">
      <alignment vertical="center"/>
      <protection locked="0"/>
    </xf>
    <xf numFmtId="0" fontId="43" fillId="34" borderId="13" xfId="0" applyNumberFormat="1" applyFont="1" applyFill="1" applyBorder="1" applyAlignment="1" applyProtection="1">
      <alignment vertical="center"/>
      <protection locked="0"/>
    </xf>
    <xf numFmtId="0" fontId="43" fillId="32" borderId="78" xfId="0" applyNumberFormat="1" applyFont="1" applyFill="1" applyBorder="1" applyAlignment="1" applyProtection="1">
      <alignment vertical="center"/>
      <protection locked="0"/>
    </xf>
    <xf numFmtId="0" fontId="43" fillId="32" borderId="74" xfId="0" applyNumberFormat="1" applyFont="1" applyFill="1" applyBorder="1" applyAlignment="1" applyProtection="1">
      <alignment vertical="center"/>
      <protection locked="0"/>
    </xf>
    <xf numFmtId="0" fontId="43" fillId="32" borderId="75" xfId="0" applyNumberFormat="1" applyFont="1" applyFill="1" applyBorder="1" applyAlignment="1" applyProtection="1">
      <alignment vertical="center"/>
      <protection locked="0"/>
    </xf>
    <xf numFmtId="0" fontId="43" fillId="32" borderId="75" xfId="33" applyNumberFormat="1" applyFont="1" applyFill="1" applyBorder="1" applyAlignment="1" applyProtection="1">
      <alignment vertical="center"/>
      <protection locked="0"/>
    </xf>
    <xf numFmtId="0" fontId="43" fillId="32" borderId="77" xfId="0" applyNumberFormat="1" applyFont="1" applyFill="1" applyBorder="1" applyAlignment="1" applyProtection="1">
      <alignment vertical="center"/>
      <protection locked="0"/>
    </xf>
    <xf numFmtId="0" fontId="43" fillId="32" borderId="15" xfId="0" applyNumberFormat="1" applyFont="1" applyFill="1" applyBorder="1" applyAlignment="1" applyProtection="1">
      <alignment vertical="center"/>
      <protection locked="0"/>
    </xf>
    <xf numFmtId="0" fontId="43" fillId="34" borderId="29" xfId="0" applyFont="1" applyFill="1" applyBorder="1" applyAlignment="1">
      <alignment horizontal="center" vertical="center"/>
    </xf>
    <xf numFmtId="192" fontId="43" fillId="34" borderId="22" xfId="0" applyNumberFormat="1" applyFont="1" applyFill="1" applyBorder="1" applyAlignment="1">
      <alignment horizontal="right" vertical="center"/>
    </xf>
    <xf numFmtId="192" fontId="43" fillId="34" borderId="28" xfId="0" applyNumberFormat="1" applyFont="1" applyFill="1" applyBorder="1" applyAlignment="1">
      <alignment horizontal="right" vertical="center"/>
    </xf>
    <xf numFmtId="192" fontId="43" fillId="34" borderId="18" xfId="0" applyNumberFormat="1" applyFont="1" applyFill="1" applyBorder="1" applyAlignment="1">
      <alignment horizontal="right" vertical="center"/>
    </xf>
    <xf numFmtId="0" fontId="43" fillId="34" borderId="32" xfId="0" applyNumberFormat="1" applyFont="1" applyFill="1" applyBorder="1" applyAlignment="1" applyProtection="1">
      <alignment vertical="center"/>
      <protection locked="0"/>
    </xf>
    <xf numFmtId="0" fontId="43" fillId="34" borderId="28" xfId="0" applyNumberFormat="1" applyFont="1" applyFill="1" applyBorder="1" applyAlignment="1" applyProtection="1">
      <alignment vertical="center"/>
      <protection locked="0"/>
    </xf>
    <xf numFmtId="0" fontId="43" fillId="34" borderId="18" xfId="0" applyNumberFormat="1" applyFont="1" applyFill="1" applyBorder="1" applyAlignment="1" applyProtection="1">
      <alignment vertical="center"/>
      <protection locked="0"/>
    </xf>
    <xf numFmtId="0" fontId="43" fillId="34" borderId="18" xfId="33" applyNumberFormat="1" applyFont="1" applyFill="1" applyBorder="1" applyAlignment="1" applyProtection="1">
      <alignment vertical="center"/>
      <protection locked="0"/>
    </xf>
    <xf numFmtId="0" fontId="43" fillId="34" borderId="29" xfId="0" applyNumberFormat="1" applyFont="1" applyFill="1" applyBorder="1" applyAlignment="1" applyProtection="1">
      <alignment vertical="center"/>
      <protection locked="0"/>
    </xf>
    <xf numFmtId="0" fontId="43" fillId="34" borderId="22" xfId="0" applyNumberFormat="1" applyFont="1" applyFill="1" applyBorder="1" applyAlignment="1" applyProtection="1">
      <alignment vertical="center"/>
      <protection locked="0"/>
    </xf>
    <xf numFmtId="0" fontId="43" fillId="0" borderId="65" xfId="0" applyFont="1" applyBorder="1"/>
    <xf numFmtId="40" fontId="43" fillId="34" borderId="65" xfId="33" applyNumberFormat="1" applyFont="1" applyFill="1" applyBorder="1" applyAlignment="1" applyProtection="1">
      <alignment vertical="center"/>
      <protection hidden="1"/>
    </xf>
    <xf numFmtId="40" fontId="43" fillId="34" borderId="11" xfId="33" applyNumberFormat="1" applyFont="1" applyFill="1" applyBorder="1" applyAlignment="1" applyProtection="1">
      <alignment vertical="center"/>
      <protection hidden="1"/>
    </xf>
    <xf numFmtId="0" fontId="43" fillId="34" borderId="0" xfId="0" applyFont="1" applyFill="1"/>
    <xf numFmtId="0" fontId="43" fillId="0" borderId="48" xfId="0" applyFont="1" applyBorder="1" applyAlignment="1">
      <alignment horizontal="center" vertical="center"/>
    </xf>
    <xf numFmtId="192" fontId="43" fillId="0" borderId="0" xfId="0" applyNumberFormat="1" applyFont="1"/>
    <xf numFmtId="0" fontId="43" fillId="0" borderId="75" xfId="0" applyFont="1" applyFill="1" applyBorder="1" applyAlignment="1">
      <alignment horizontal="center" vertical="center"/>
    </xf>
    <xf numFmtId="0" fontId="43" fillId="0" borderId="15" xfId="0" applyNumberFormat="1" applyFont="1" applyFill="1" applyBorder="1"/>
    <xf numFmtId="0" fontId="43" fillId="0" borderId="74" xfId="0" applyNumberFormat="1" applyFont="1" applyFill="1" applyBorder="1"/>
    <xf numFmtId="0" fontId="43" fillId="0" borderId="75" xfId="0" applyNumberFormat="1" applyFont="1" applyFill="1" applyBorder="1"/>
    <xf numFmtId="0" fontId="43" fillId="0" borderId="78" xfId="0" applyNumberFormat="1" applyFont="1" applyFill="1" applyBorder="1"/>
    <xf numFmtId="0" fontId="43" fillId="0" borderId="77" xfId="0" applyNumberFormat="1" applyFont="1" applyFill="1" applyBorder="1"/>
    <xf numFmtId="0" fontId="43" fillId="0" borderId="47" xfId="0" applyFont="1" applyFill="1" applyBorder="1" applyAlignment="1">
      <alignment horizontal="center" vertical="center"/>
    </xf>
    <xf numFmtId="0" fontId="43" fillId="0" borderId="15" xfId="0" applyFont="1" applyFill="1" applyBorder="1" applyAlignment="1">
      <alignment vertical="center"/>
    </xf>
    <xf numFmtId="0" fontId="43" fillId="0" borderId="74" xfId="0" applyFont="1" applyFill="1" applyBorder="1" applyAlignment="1">
      <alignment vertical="center"/>
    </xf>
    <xf numFmtId="0" fontId="43" fillId="0" borderId="75" xfId="0" applyFont="1" applyFill="1" applyBorder="1" applyAlignment="1">
      <alignment vertical="center"/>
    </xf>
    <xf numFmtId="0" fontId="43" fillId="0" borderId="15" xfId="0" applyFont="1" applyFill="1" applyBorder="1" applyAlignment="1" applyProtection="1">
      <alignment vertical="center"/>
      <protection locked="0"/>
    </xf>
    <xf numFmtId="0" fontId="43" fillId="0" borderId="74" xfId="0" applyFont="1" applyFill="1" applyBorder="1" applyAlignment="1" applyProtection="1">
      <alignment vertical="center"/>
      <protection locked="0"/>
    </xf>
    <xf numFmtId="0" fontId="43" fillId="0" borderId="77" xfId="0" applyFont="1" applyFill="1" applyBorder="1" applyAlignment="1" applyProtection="1">
      <alignment vertical="center"/>
      <protection locked="0"/>
    </xf>
    <xf numFmtId="0" fontId="43" fillId="0" borderId="75" xfId="0" applyFont="1" applyFill="1" applyBorder="1" applyAlignment="1" applyProtection="1">
      <alignment vertical="center"/>
      <protection locked="0"/>
    </xf>
    <xf numFmtId="0" fontId="43" fillId="0" borderId="78" xfId="0" applyFont="1" applyFill="1" applyBorder="1" applyAlignment="1" applyProtection="1">
      <alignment vertical="center"/>
      <protection locked="0"/>
    </xf>
    <xf numFmtId="0" fontId="43" fillId="0" borderId="38" xfId="0" applyFont="1" applyFill="1" applyBorder="1" applyAlignment="1" applyProtection="1">
      <alignment vertical="center"/>
      <protection locked="0"/>
    </xf>
    <xf numFmtId="190" fontId="43" fillId="0" borderId="0" xfId="0" applyNumberFormat="1" applyFont="1" applyAlignment="1">
      <alignment vertical="center"/>
    </xf>
    <xf numFmtId="0" fontId="43" fillId="0" borderId="77" xfId="0" applyFont="1" applyFill="1" applyBorder="1" applyAlignment="1">
      <alignment horizontal="center" vertical="center"/>
    </xf>
    <xf numFmtId="193" fontId="43" fillId="0" borderId="15" xfId="0" applyNumberFormat="1" applyFont="1" applyFill="1" applyBorder="1" applyAlignment="1">
      <alignment horizontal="right" vertical="center"/>
    </xf>
    <xf numFmtId="193" fontId="43" fillId="0" borderId="74" xfId="0" applyNumberFormat="1" applyFont="1" applyFill="1" applyBorder="1" applyAlignment="1">
      <alignment horizontal="right" vertical="center"/>
    </xf>
    <xf numFmtId="192" fontId="43" fillId="0" borderId="74" xfId="0" applyNumberFormat="1" applyFont="1" applyFill="1" applyBorder="1" applyAlignment="1">
      <alignment horizontal="right" vertical="center"/>
    </xf>
    <xf numFmtId="192" fontId="43" fillId="0" borderId="75" xfId="0" applyNumberFormat="1" applyFont="1" applyFill="1" applyBorder="1" applyAlignment="1">
      <alignment horizontal="right" vertical="center"/>
    </xf>
    <xf numFmtId="0" fontId="43" fillId="0" borderId="78" xfId="0" applyNumberFormat="1" applyFont="1" applyFill="1" applyBorder="1" applyAlignment="1" applyProtection="1">
      <alignment vertical="center"/>
      <protection locked="0"/>
    </xf>
    <xf numFmtId="0" fontId="43" fillId="0" borderId="74" xfId="0" applyNumberFormat="1" applyFont="1" applyFill="1" applyBorder="1" applyAlignment="1" applyProtection="1">
      <alignment vertical="center"/>
      <protection locked="0"/>
    </xf>
    <xf numFmtId="0" fontId="43" fillId="0" borderId="75" xfId="0" applyNumberFormat="1" applyFont="1" applyFill="1" applyBorder="1" applyAlignment="1" applyProtection="1">
      <alignment vertical="center"/>
      <protection locked="0"/>
    </xf>
    <xf numFmtId="0" fontId="43" fillId="0" borderId="75" xfId="33" applyNumberFormat="1" applyFont="1" applyFill="1" applyBorder="1" applyAlignment="1" applyProtection="1">
      <alignment vertical="center"/>
      <protection locked="0"/>
    </xf>
    <xf numFmtId="0" fontId="43" fillId="0" borderId="77" xfId="0" applyNumberFormat="1" applyFont="1" applyFill="1" applyBorder="1" applyAlignment="1" applyProtection="1">
      <alignment vertical="center"/>
      <protection locked="0"/>
    </xf>
    <xf numFmtId="0" fontId="43" fillId="0" borderId="15" xfId="0" applyNumberFormat="1" applyFont="1" applyFill="1" applyBorder="1" applyAlignment="1" applyProtection="1">
      <alignment vertical="center"/>
      <protection locked="0"/>
    </xf>
    <xf numFmtId="0" fontId="43" fillId="0" borderId="15" xfId="0" applyNumberFormat="1" applyFont="1" applyFill="1" applyBorder="1" applyAlignment="1">
      <alignment horizontal="right" vertical="center"/>
    </xf>
    <xf numFmtId="0" fontId="43" fillId="0" borderId="74" xfId="0" applyNumberFormat="1" applyFont="1" applyFill="1" applyBorder="1" applyAlignment="1">
      <alignment horizontal="right" vertical="center"/>
    </xf>
    <xf numFmtId="0" fontId="43" fillId="0" borderId="77" xfId="0" applyNumberFormat="1" applyFont="1" applyFill="1" applyBorder="1" applyAlignment="1">
      <alignment horizontal="right" vertical="center"/>
    </xf>
    <xf numFmtId="0" fontId="43" fillId="0" borderId="77" xfId="33" applyNumberFormat="1" applyFont="1" applyFill="1" applyBorder="1" applyAlignment="1" applyProtection="1">
      <alignment vertical="center"/>
      <protection locked="0"/>
    </xf>
    <xf numFmtId="40" fontId="43" fillId="0" borderId="55" xfId="33" applyNumberFormat="1" applyFont="1" applyFill="1" applyBorder="1" applyAlignment="1" applyProtection="1">
      <alignment vertical="center"/>
      <protection hidden="1"/>
    </xf>
    <xf numFmtId="40" fontId="43" fillId="34" borderId="55" xfId="33" applyNumberFormat="1" applyFont="1" applyFill="1" applyBorder="1" applyAlignment="1" applyProtection="1">
      <alignment vertical="center"/>
      <protection hidden="1"/>
    </xf>
    <xf numFmtId="0" fontId="43" fillId="0" borderId="0" xfId="0" applyFont="1" applyAlignment="1">
      <alignment horizontal="center"/>
    </xf>
    <xf numFmtId="0" fontId="66" fillId="0" borderId="0" xfId="0" applyFont="1" applyAlignment="1">
      <alignment vertical="center"/>
    </xf>
    <xf numFmtId="0" fontId="66" fillId="0" borderId="0" xfId="0" applyFont="1" applyBorder="1" applyAlignment="1">
      <alignment vertical="center"/>
    </xf>
    <xf numFmtId="0" fontId="66" fillId="0" borderId="67" xfId="0" applyFont="1" applyBorder="1" applyAlignment="1">
      <alignment horizontal="center" vertical="center"/>
    </xf>
    <xf numFmtId="0" fontId="66" fillId="0" borderId="81" xfId="0" applyFont="1" applyFill="1" applyBorder="1" applyAlignment="1">
      <alignment horizontal="center" vertical="center"/>
    </xf>
    <xf numFmtId="0" fontId="66" fillId="0" borderId="23" xfId="0" applyFont="1" applyBorder="1" applyAlignment="1">
      <alignment vertical="center" shrinkToFit="1"/>
    </xf>
    <xf numFmtId="0" fontId="66" fillId="0" borderId="52" xfId="0" applyFont="1" applyBorder="1" applyAlignment="1">
      <alignment vertical="center" shrinkToFit="1"/>
    </xf>
    <xf numFmtId="0" fontId="66" fillId="0" borderId="147" xfId="0" applyFont="1" applyBorder="1" applyAlignment="1">
      <alignment vertical="center" shrinkToFit="1"/>
    </xf>
    <xf numFmtId="0" fontId="66" fillId="0" borderId="148" xfId="0" applyFont="1" applyBorder="1" applyAlignment="1">
      <alignment vertical="center" shrinkToFit="1"/>
    </xf>
    <xf numFmtId="0" fontId="66" fillId="39" borderId="147" xfId="0" applyFont="1" applyFill="1" applyBorder="1" applyAlignment="1">
      <alignment vertical="center" shrinkToFit="1"/>
    </xf>
    <xf numFmtId="0" fontId="66" fillId="39" borderId="53" xfId="0" applyFont="1" applyFill="1" applyBorder="1" applyAlignment="1">
      <alignment vertical="center" shrinkToFit="1"/>
    </xf>
    <xf numFmtId="0" fontId="74" fillId="39" borderId="149" xfId="0" applyFont="1" applyFill="1" applyBorder="1" applyAlignment="1">
      <alignment horizontal="center" vertical="center" shrinkToFit="1"/>
    </xf>
    <xf numFmtId="0" fontId="66" fillId="39" borderId="52" xfId="0" applyFont="1" applyFill="1" applyBorder="1" applyAlignment="1">
      <alignment vertical="center" shrinkToFit="1"/>
    </xf>
    <xf numFmtId="0" fontId="74" fillId="39" borderId="16" xfId="0" applyFont="1" applyFill="1" applyBorder="1" applyAlignment="1">
      <alignment horizontal="center" vertical="center" shrinkToFit="1"/>
    </xf>
    <xf numFmtId="0" fontId="66" fillId="0" borderId="69" xfId="0" applyFont="1" applyBorder="1" applyAlignment="1">
      <alignment horizontal="center" vertical="center"/>
    </xf>
    <xf numFmtId="0" fontId="66" fillId="0" borderId="150" xfId="0" applyFont="1" applyFill="1" applyBorder="1" applyAlignment="1">
      <alignment horizontal="center" vertical="center"/>
    </xf>
    <xf numFmtId="0" fontId="66" fillId="0" borderId="27" xfId="0" applyFont="1" applyBorder="1" applyAlignment="1">
      <alignment vertical="center" shrinkToFit="1"/>
    </xf>
    <xf numFmtId="0" fontId="66" fillId="0" borderId="51" xfId="0" applyFont="1" applyBorder="1" applyAlignment="1">
      <alignment vertical="center" shrinkToFit="1"/>
    </xf>
    <xf numFmtId="0" fontId="66" fillId="0" borderId="139" xfId="0" applyFont="1" applyBorder="1" applyAlignment="1">
      <alignment vertical="center" shrinkToFit="1"/>
    </xf>
    <xf numFmtId="0" fontId="66" fillId="0" borderId="151" xfId="0" applyFont="1" applyBorder="1" applyAlignment="1">
      <alignment vertical="center" shrinkToFit="1"/>
    </xf>
    <xf numFmtId="0" fontId="66" fillId="39" borderId="152" xfId="0" applyFont="1" applyFill="1" applyBorder="1" applyAlignment="1">
      <alignment vertical="center" shrinkToFit="1"/>
    </xf>
    <xf numFmtId="0" fontId="74" fillId="39" borderId="138" xfId="0" applyFont="1" applyFill="1" applyBorder="1" applyAlignment="1">
      <alignment horizontal="right" vertical="center" shrinkToFit="1"/>
    </xf>
    <xf numFmtId="0" fontId="74" fillId="39" borderId="42" xfId="0" applyFont="1" applyFill="1" applyBorder="1" applyAlignment="1">
      <alignment horizontal="right" vertical="center" shrinkToFit="1"/>
    </xf>
    <xf numFmtId="0" fontId="66" fillId="39" borderId="153" xfId="0" applyFont="1" applyFill="1" applyBorder="1" applyAlignment="1">
      <alignment vertical="center" shrinkToFit="1"/>
    </xf>
    <xf numFmtId="0" fontId="74" fillId="39" borderId="138" xfId="0" applyFont="1" applyFill="1" applyBorder="1" applyAlignment="1">
      <alignment vertical="center" shrinkToFit="1"/>
    </xf>
    <xf numFmtId="0" fontId="66" fillId="39" borderId="54" xfId="0" applyFont="1" applyFill="1" applyBorder="1" applyAlignment="1">
      <alignment vertical="center" shrinkToFit="1"/>
    </xf>
    <xf numFmtId="0" fontId="74" fillId="39" borderId="42" xfId="0" applyFont="1" applyFill="1" applyBorder="1" applyAlignment="1">
      <alignment vertical="center" shrinkToFit="1"/>
    </xf>
    <xf numFmtId="0" fontId="66" fillId="39" borderId="139" xfId="0" applyFont="1" applyFill="1" applyBorder="1" applyAlignment="1">
      <alignment vertical="center" shrinkToFit="1"/>
    </xf>
    <xf numFmtId="0" fontId="66" fillId="39" borderId="51" xfId="0" applyFont="1" applyFill="1" applyBorder="1" applyAlignment="1">
      <alignment vertical="center" shrinkToFit="1"/>
    </xf>
    <xf numFmtId="0" fontId="66" fillId="0" borderId="70" xfId="0" applyFont="1" applyBorder="1" applyAlignment="1">
      <alignment horizontal="center" vertical="center"/>
    </xf>
    <xf numFmtId="0" fontId="66" fillId="0" borderId="154" xfId="0" applyFont="1" applyFill="1" applyBorder="1" applyAlignment="1">
      <alignment horizontal="center" vertical="center"/>
    </xf>
    <xf numFmtId="0" fontId="66" fillId="0" borderId="35" xfId="0" applyFont="1" applyBorder="1" applyAlignment="1">
      <alignment vertical="center" shrinkToFit="1"/>
    </xf>
    <xf numFmtId="0" fontId="66" fillId="0" borderId="54" xfId="0" applyFont="1" applyBorder="1" applyAlignment="1">
      <alignment vertical="center" shrinkToFit="1"/>
    </xf>
    <xf numFmtId="0" fontId="66" fillId="0" borderId="153" xfId="0" applyFont="1" applyBorder="1" applyAlignment="1">
      <alignment vertical="center" shrinkToFit="1"/>
    </xf>
    <xf numFmtId="0" fontId="66" fillId="0" borderId="155" xfId="0" applyFont="1" applyBorder="1" applyAlignment="1">
      <alignment vertical="center" shrinkToFit="1"/>
    </xf>
    <xf numFmtId="0" fontId="66" fillId="39" borderId="156" xfId="0" applyFont="1" applyFill="1" applyBorder="1" applyAlignment="1">
      <alignment vertical="center" shrinkToFit="1"/>
    </xf>
    <xf numFmtId="0" fontId="74" fillId="39" borderId="157" xfId="0" applyFont="1" applyFill="1" applyBorder="1" applyAlignment="1">
      <alignment vertical="center" shrinkToFit="1"/>
    </xf>
    <xf numFmtId="0" fontId="66" fillId="39" borderId="158" xfId="0" applyFont="1" applyFill="1" applyBorder="1" applyAlignment="1">
      <alignment vertical="center" shrinkToFit="1"/>
    </xf>
    <xf numFmtId="0" fontId="74" fillId="39" borderId="159" xfId="0" applyFont="1" applyFill="1" applyBorder="1" applyAlignment="1">
      <alignment vertical="center" shrinkToFit="1"/>
    </xf>
    <xf numFmtId="0" fontId="66" fillId="0" borderId="160" xfId="0" applyFont="1" applyBorder="1" applyAlignment="1">
      <alignment horizontal="center" vertical="center"/>
    </xf>
    <xf numFmtId="0" fontId="66" fillId="0" borderId="161" xfId="0" applyFont="1" applyFill="1" applyBorder="1" applyAlignment="1">
      <alignment horizontal="center" vertical="center"/>
    </xf>
    <xf numFmtId="0" fontId="66" fillId="0" borderId="163" xfId="0" applyFont="1" applyBorder="1" applyAlignment="1">
      <alignment vertical="center" shrinkToFit="1"/>
    </xf>
    <xf numFmtId="0" fontId="66" fillId="0" borderId="162" xfId="0" applyFont="1" applyBorder="1" applyAlignment="1">
      <alignment vertical="center" shrinkToFit="1"/>
    </xf>
    <xf numFmtId="0" fontId="66" fillId="0" borderId="164" xfId="0" applyFont="1" applyBorder="1" applyAlignment="1">
      <alignment vertical="center" shrinkToFit="1"/>
    </xf>
    <xf numFmtId="0" fontId="66" fillId="0" borderId="165" xfId="0" applyFont="1" applyBorder="1" applyAlignment="1">
      <alignment vertical="center" shrinkToFit="1"/>
    </xf>
    <xf numFmtId="0" fontId="66" fillId="39" borderId="164" xfId="0" applyFont="1" applyFill="1" applyBorder="1" applyAlignment="1">
      <alignment vertical="center" shrinkToFit="1"/>
    </xf>
    <xf numFmtId="0" fontId="74" fillId="39" borderId="166" xfId="0" applyFont="1" applyFill="1" applyBorder="1" applyAlignment="1">
      <alignment horizontal="right" vertical="center" shrinkToFit="1"/>
    </xf>
    <xf numFmtId="0" fontId="66" fillId="39" borderId="162" xfId="0" applyFont="1" applyFill="1" applyBorder="1" applyAlignment="1">
      <alignment vertical="center" shrinkToFit="1"/>
    </xf>
    <xf numFmtId="0" fontId="74" fillId="39" borderId="149" xfId="0" applyFont="1" applyFill="1" applyBorder="1" applyAlignment="1">
      <alignment horizontal="right" vertical="center" shrinkToFit="1"/>
    </xf>
    <xf numFmtId="0" fontId="74" fillId="39" borderId="167" xfId="0" applyFont="1" applyFill="1" applyBorder="1" applyAlignment="1">
      <alignment horizontal="right" vertical="center" shrinkToFit="1"/>
    </xf>
    <xf numFmtId="0" fontId="66" fillId="0" borderId="138" xfId="0" applyFont="1" applyBorder="1" applyAlignment="1">
      <alignment vertical="center" shrinkToFit="1"/>
    </xf>
    <xf numFmtId="0" fontId="66" fillId="0" borderId="168" xfId="0" applyFont="1" applyBorder="1" applyAlignment="1">
      <alignment horizontal="center" vertical="center"/>
    </xf>
    <xf numFmtId="0" fontId="66" fillId="0" borderId="169" xfId="0" applyFont="1" applyFill="1" applyBorder="1" applyAlignment="1">
      <alignment horizontal="center" vertical="center"/>
    </xf>
    <xf numFmtId="0" fontId="66" fillId="0" borderId="171" xfId="0" applyFont="1" applyBorder="1" applyAlignment="1">
      <alignment vertical="center" shrinkToFit="1"/>
    </xf>
    <xf numFmtId="0" fontId="66" fillId="0" borderId="170" xfId="0" applyFont="1" applyBorder="1" applyAlignment="1">
      <alignment vertical="center" shrinkToFit="1"/>
    </xf>
    <xf numFmtId="0" fontId="66" fillId="0" borderId="172" xfId="0" applyFont="1" applyBorder="1" applyAlignment="1">
      <alignment vertical="center" shrinkToFit="1"/>
    </xf>
    <xf numFmtId="0" fontId="66" fillId="0" borderId="173" xfId="0" applyFont="1" applyBorder="1" applyAlignment="1">
      <alignment vertical="center" shrinkToFit="1"/>
    </xf>
    <xf numFmtId="0" fontId="74" fillId="39" borderId="46" xfId="0" applyFont="1" applyFill="1" applyBorder="1" applyAlignment="1">
      <alignment vertical="center" shrinkToFit="1"/>
    </xf>
    <xf numFmtId="0" fontId="74" fillId="39" borderId="174" xfId="0" applyFont="1" applyFill="1" applyBorder="1" applyAlignment="1">
      <alignment vertical="center" shrinkToFit="1"/>
    </xf>
    <xf numFmtId="0" fontId="66" fillId="0" borderId="37" xfId="0" applyFont="1" applyBorder="1" applyAlignment="1">
      <alignment vertical="center"/>
    </xf>
    <xf numFmtId="0" fontId="66" fillId="0" borderId="68" xfId="0" applyFont="1" applyBorder="1" applyAlignment="1">
      <alignment horizontal="center" vertical="center"/>
    </xf>
    <xf numFmtId="0" fontId="66" fillId="0" borderId="142" xfId="0" applyFont="1" applyFill="1" applyBorder="1" applyAlignment="1">
      <alignment horizontal="center" vertical="center"/>
    </xf>
    <xf numFmtId="0" fontId="66" fillId="0" borderId="17" xfId="0" applyFont="1" applyBorder="1" applyAlignment="1">
      <alignment vertical="center" shrinkToFit="1"/>
    </xf>
    <xf numFmtId="0" fontId="66" fillId="0" borderId="47" xfId="0" applyFont="1" applyBorder="1" applyAlignment="1">
      <alignment vertical="center" shrinkToFit="1"/>
    </xf>
    <xf numFmtId="0" fontId="66" fillId="0" borderId="144" xfId="0" applyFont="1" applyBorder="1" applyAlignment="1">
      <alignment vertical="center" shrinkToFit="1"/>
    </xf>
    <xf numFmtId="0" fontId="66" fillId="0" borderId="175" xfId="0" applyFont="1" applyBorder="1" applyAlignment="1">
      <alignment vertical="center" shrinkToFit="1"/>
    </xf>
    <xf numFmtId="0" fontId="66" fillId="39" borderId="144" xfId="0" applyFont="1" applyFill="1" applyBorder="1" applyAlignment="1">
      <alignment vertical="center" shrinkToFit="1"/>
    </xf>
    <xf numFmtId="0" fontId="66" fillId="39" borderId="47" xfId="0" applyFont="1" applyFill="1" applyBorder="1" applyAlignment="1">
      <alignment vertical="center" shrinkToFit="1"/>
    </xf>
    <xf numFmtId="0" fontId="74" fillId="39" borderId="143" xfId="0" applyFont="1" applyFill="1" applyBorder="1" applyAlignment="1">
      <alignment vertical="center" shrinkToFit="1"/>
    </xf>
    <xf numFmtId="0" fontId="74" fillId="39" borderId="19" xfId="0" applyFont="1" applyFill="1" applyBorder="1" applyAlignment="1">
      <alignment vertical="center" shrinkToFit="1"/>
    </xf>
    <xf numFmtId="0" fontId="66" fillId="0" borderId="11" xfId="0" applyFont="1" applyBorder="1" applyAlignment="1">
      <alignment vertical="center"/>
    </xf>
    <xf numFmtId="0" fontId="68" fillId="0" borderId="0" xfId="0" applyFont="1" applyAlignment="1">
      <alignment vertical="center" wrapText="1"/>
    </xf>
    <xf numFmtId="0" fontId="68" fillId="0" borderId="47" xfId="0" applyFont="1" applyFill="1" applyBorder="1" applyAlignment="1">
      <alignment horizontal="center" vertical="center" wrapText="1"/>
    </xf>
    <xf numFmtId="0" fontId="68" fillId="0" borderId="143" xfId="0" applyFont="1" applyFill="1" applyBorder="1" applyAlignment="1">
      <alignment horizontal="center" vertical="center" wrapText="1"/>
    </xf>
    <xf numFmtId="0" fontId="68" fillId="0" borderId="19" xfId="0" applyFont="1" applyFill="1" applyBorder="1" applyAlignment="1">
      <alignment horizontal="center" vertical="center" wrapText="1"/>
    </xf>
    <xf numFmtId="0" fontId="66" fillId="0" borderId="67" xfId="0" applyFont="1" applyFill="1" applyBorder="1" applyAlignment="1">
      <alignment horizontal="center" vertical="center"/>
    </xf>
    <xf numFmtId="0" fontId="66" fillId="0" borderId="52" xfId="0" applyFont="1" applyBorder="1" applyAlignment="1">
      <alignment horizontal="right" vertical="center"/>
    </xf>
    <xf numFmtId="0" fontId="74" fillId="39" borderId="176" xfId="0" applyFont="1" applyFill="1" applyBorder="1" applyAlignment="1">
      <alignment horizontal="center" vertical="center"/>
    </xf>
    <xf numFmtId="0" fontId="66" fillId="0" borderId="52" xfId="0" applyFont="1" applyFill="1" applyBorder="1" applyAlignment="1">
      <alignment horizontal="right" vertical="center"/>
    </xf>
    <xf numFmtId="0" fontId="74" fillId="39" borderId="43" xfId="0" applyFont="1" applyFill="1" applyBorder="1" applyAlignment="1">
      <alignment horizontal="center" vertical="center"/>
    </xf>
    <xf numFmtId="0" fontId="66" fillId="0" borderId="69" xfId="0" applyFont="1" applyFill="1" applyBorder="1" applyAlignment="1">
      <alignment horizontal="center" vertical="center"/>
    </xf>
    <xf numFmtId="0" fontId="66" fillId="0" borderId="51" xfId="0" applyFont="1" applyBorder="1" applyAlignment="1">
      <alignment horizontal="right" vertical="center"/>
    </xf>
    <xf numFmtId="0" fontId="66" fillId="39" borderId="138" xfId="0" applyFont="1" applyFill="1" applyBorder="1" applyAlignment="1">
      <alignment horizontal="right" vertical="center"/>
    </xf>
    <xf numFmtId="0" fontId="66" fillId="0" borderId="51" xfId="0" applyFont="1" applyFill="1" applyBorder="1" applyAlignment="1">
      <alignment horizontal="right" vertical="center"/>
    </xf>
    <xf numFmtId="0" fontId="66" fillId="39" borderId="42" xfId="0" applyFont="1" applyFill="1" applyBorder="1" applyAlignment="1">
      <alignment horizontal="right" vertical="center"/>
    </xf>
    <xf numFmtId="0" fontId="66" fillId="0" borderId="70" xfId="0" applyFont="1" applyFill="1" applyBorder="1" applyAlignment="1">
      <alignment horizontal="center" vertical="center"/>
    </xf>
    <xf numFmtId="0" fontId="66" fillId="0" borderId="54" xfId="0" applyFont="1" applyBorder="1" applyAlignment="1">
      <alignment horizontal="right" vertical="center"/>
    </xf>
    <xf numFmtId="0" fontId="66" fillId="39" borderId="141" xfId="0" applyFont="1" applyFill="1" applyBorder="1" applyAlignment="1">
      <alignment horizontal="right" vertical="center"/>
    </xf>
    <xf numFmtId="0" fontId="66" fillId="0" borderId="54" xfId="0" applyFont="1" applyFill="1" applyBorder="1" applyAlignment="1">
      <alignment horizontal="right" vertical="center"/>
    </xf>
    <xf numFmtId="0" fontId="66" fillId="39" borderId="46" xfId="0" applyFont="1" applyFill="1" applyBorder="1" applyAlignment="1">
      <alignment horizontal="right" vertical="center"/>
    </xf>
    <xf numFmtId="0" fontId="66" fillId="0" borderId="160" xfId="0" applyFont="1" applyFill="1" applyBorder="1" applyAlignment="1">
      <alignment horizontal="center" vertical="center"/>
    </xf>
    <xf numFmtId="0" fontId="66" fillId="0" borderId="162" xfId="0" applyFont="1" applyBorder="1" applyAlignment="1">
      <alignment horizontal="right" vertical="center"/>
    </xf>
    <xf numFmtId="0" fontId="74" fillId="39" borderId="177" xfId="0" applyFont="1" applyFill="1" applyBorder="1" applyAlignment="1">
      <alignment horizontal="right" vertical="center"/>
    </xf>
    <xf numFmtId="0" fontId="66" fillId="0" borderId="162" xfId="0" applyFont="1" applyFill="1" applyBorder="1" applyAlignment="1">
      <alignment horizontal="right" vertical="center"/>
    </xf>
    <xf numFmtId="0" fontId="74" fillId="39" borderId="178" xfId="0" applyFont="1" applyFill="1" applyBorder="1" applyAlignment="1">
      <alignment horizontal="right" vertical="center"/>
    </xf>
    <xf numFmtId="0" fontId="66" fillId="0" borderId="168" xfId="0" applyFont="1" applyFill="1" applyBorder="1" applyAlignment="1">
      <alignment horizontal="center" vertical="center"/>
    </xf>
    <xf numFmtId="0" fontId="66" fillId="0" borderId="170" xfId="0" applyFont="1" applyBorder="1" applyAlignment="1">
      <alignment horizontal="right" vertical="center"/>
    </xf>
    <xf numFmtId="0" fontId="66" fillId="0" borderId="170" xfId="0" applyFont="1" applyFill="1" applyBorder="1" applyAlignment="1">
      <alignment horizontal="right" vertical="center"/>
    </xf>
    <xf numFmtId="0" fontId="66" fillId="39" borderId="157" xfId="0" applyFont="1" applyFill="1" applyBorder="1" applyAlignment="1">
      <alignment horizontal="right" vertical="center"/>
    </xf>
    <xf numFmtId="0" fontId="66" fillId="39" borderId="159" xfId="0" applyFont="1" applyFill="1" applyBorder="1" applyAlignment="1">
      <alignment horizontal="right" vertical="center"/>
    </xf>
    <xf numFmtId="0" fontId="66" fillId="0" borderId="68" xfId="0" applyFont="1" applyFill="1" applyBorder="1" applyAlignment="1">
      <alignment horizontal="center" vertical="center"/>
    </xf>
    <xf numFmtId="0" fontId="66" fillId="0" borderId="47" xfId="0" applyFont="1" applyBorder="1" applyAlignment="1">
      <alignment horizontal="right" vertical="center"/>
    </xf>
    <xf numFmtId="0" fontId="66" fillId="39" borderId="143" xfId="0" applyFont="1" applyFill="1" applyBorder="1" applyAlignment="1">
      <alignment horizontal="right" vertical="center"/>
    </xf>
    <xf numFmtId="0" fontId="66" fillId="0" borderId="47" xfId="0" applyFont="1" applyFill="1" applyBorder="1" applyAlignment="1">
      <alignment horizontal="right" vertical="center"/>
    </xf>
    <xf numFmtId="0" fontId="66" fillId="39" borderId="31" xfId="0" applyFont="1" applyFill="1" applyBorder="1" applyAlignment="1">
      <alignment horizontal="right" vertical="center"/>
    </xf>
    <xf numFmtId="0" fontId="66" fillId="39" borderId="19" xfId="0" applyFont="1" applyFill="1" applyBorder="1" applyAlignment="1">
      <alignment horizontal="right" vertical="center"/>
    </xf>
    <xf numFmtId="0" fontId="43" fillId="32" borderId="36" xfId="0" applyFont="1" applyFill="1" applyBorder="1" applyAlignment="1">
      <alignment horizontal="center"/>
    </xf>
    <xf numFmtId="40" fontId="43" fillId="0" borderId="65" xfId="33" applyNumberFormat="1" applyFont="1" applyFill="1" applyBorder="1" applyAlignment="1" applyProtection="1">
      <alignment vertical="center"/>
      <protection hidden="1"/>
    </xf>
    <xf numFmtId="0" fontId="43" fillId="0" borderId="65" xfId="33" applyNumberFormat="1" applyFont="1" applyFill="1" applyBorder="1" applyAlignment="1" applyProtection="1">
      <alignment vertical="center"/>
      <protection hidden="1"/>
    </xf>
    <xf numFmtId="0" fontId="43" fillId="0" borderId="11" xfId="33" applyNumberFormat="1" applyFont="1" applyFill="1" applyBorder="1" applyAlignment="1" applyProtection="1">
      <alignment vertical="center"/>
      <protection hidden="1"/>
    </xf>
    <xf numFmtId="0" fontId="43" fillId="0" borderId="55" xfId="33" applyNumberFormat="1" applyFont="1" applyFill="1" applyBorder="1" applyAlignment="1" applyProtection="1">
      <alignment vertical="center"/>
      <protection hidden="1"/>
    </xf>
    <xf numFmtId="0" fontId="43" fillId="0" borderId="0" xfId="33" applyNumberFormat="1" applyFont="1" applyFill="1" applyBorder="1" applyAlignment="1" applyProtection="1">
      <alignment vertical="center"/>
      <protection hidden="1"/>
    </xf>
    <xf numFmtId="0" fontId="43" fillId="32" borderId="72" xfId="0" applyNumberFormat="1" applyFont="1" applyFill="1" applyBorder="1" applyAlignment="1">
      <alignment horizontal="center" vertical="center"/>
    </xf>
    <xf numFmtId="40" fontId="43" fillId="32" borderId="80" xfId="33" applyNumberFormat="1" applyFont="1" applyFill="1" applyBorder="1" applyAlignment="1" applyProtection="1">
      <alignment vertical="center"/>
      <protection hidden="1"/>
    </xf>
    <xf numFmtId="40" fontId="43" fillId="32" borderId="81" xfId="33" applyNumberFormat="1" applyFont="1" applyFill="1" applyBorder="1" applyAlignment="1" applyProtection="1">
      <alignment vertical="center"/>
      <protection hidden="1"/>
    </xf>
    <xf numFmtId="0" fontId="43" fillId="32" borderId="81" xfId="33" applyNumberFormat="1" applyFont="1" applyFill="1" applyBorder="1" applyAlignment="1" applyProtection="1">
      <alignment vertical="center"/>
      <protection hidden="1"/>
    </xf>
    <xf numFmtId="0" fontId="43" fillId="32" borderId="62" xfId="33" applyNumberFormat="1" applyFont="1" applyFill="1" applyBorder="1" applyAlignment="1" applyProtection="1">
      <alignment vertical="center"/>
      <protection hidden="1"/>
    </xf>
    <xf numFmtId="0" fontId="43" fillId="32" borderId="80" xfId="33" applyNumberFormat="1" applyFont="1" applyFill="1" applyBorder="1" applyAlignment="1" applyProtection="1">
      <alignment vertical="center"/>
      <protection hidden="1"/>
    </xf>
    <xf numFmtId="0" fontId="43" fillId="32" borderId="61" xfId="33" applyNumberFormat="1" applyFont="1" applyFill="1" applyBorder="1" applyAlignment="1" applyProtection="1">
      <alignment vertical="center"/>
      <protection hidden="1"/>
    </xf>
    <xf numFmtId="40" fontId="43" fillId="34" borderId="80" xfId="33" applyNumberFormat="1" applyFont="1" applyFill="1" applyBorder="1" applyAlignment="1" applyProtection="1">
      <alignment vertical="center"/>
      <protection hidden="1"/>
    </xf>
    <xf numFmtId="40" fontId="43" fillId="34" borderId="81" xfId="33" applyNumberFormat="1" applyFont="1" applyFill="1" applyBorder="1" applyAlignment="1" applyProtection="1">
      <alignment vertical="center"/>
      <protection hidden="1"/>
    </xf>
    <xf numFmtId="40" fontId="43" fillId="34" borderId="62" xfId="33" applyNumberFormat="1" applyFont="1" applyFill="1" applyBorder="1" applyAlignment="1" applyProtection="1">
      <alignment vertical="center"/>
      <protection hidden="1"/>
    </xf>
    <xf numFmtId="184" fontId="43" fillId="0" borderId="37" xfId="0" applyNumberFormat="1" applyFont="1" applyFill="1" applyBorder="1" applyAlignment="1" applyProtection="1">
      <alignment vertical="center"/>
      <protection hidden="1"/>
    </xf>
    <xf numFmtId="189" fontId="43" fillId="0" borderId="55" xfId="0" applyNumberFormat="1" applyFont="1" applyFill="1" applyBorder="1" applyAlignment="1">
      <alignment horizontal="right" vertical="center"/>
    </xf>
    <xf numFmtId="189" fontId="43" fillId="0" borderId="63" xfId="0" applyNumberFormat="1" applyFont="1" applyFill="1" applyBorder="1" applyAlignment="1">
      <alignment horizontal="right" vertical="center"/>
    </xf>
    <xf numFmtId="189" fontId="43" fillId="0" borderId="64" xfId="0" applyNumberFormat="1" applyFont="1" applyFill="1" applyBorder="1" applyAlignment="1">
      <alignment horizontal="right" vertical="center"/>
    </xf>
    <xf numFmtId="0" fontId="43" fillId="0" borderId="14" xfId="0" applyFont="1" applyBorder="1" applyAlignment="1">
      <alignment horizontal="center" vertical="center"/>
    </xf>
    <xf numFmtId="0" fontId="43" fillId="0" borderId="50" xfId="0" applyFont="1" applyBorder="1" applyAlignment="1">
      <alignment horizontal="center" vertical="center"/>
    </xf>
    <xf numFmtId="0" fontId="43" fillId="0" borderId="22" xfId="0" applyFont="1" applyBorder="1" applyAlignment="1">
      <alignment horizontal="center" vertical="center"/>
    </xf>
    <xf numFmtId="0" fontId="43" fillId="0" borderId="69" xfId="0" applyFont="1" applyBorder="1" applyAlignment="1">
      <alignment horizontal="center" vertical="center"/>
    </xf>
    <xf numFmtId="0" fontId="43" fillId="0" borderId="51" xfId="0" applyFont="1" applyBorder="1" applyAlignment="1">
      <alignment horizontal="center" vertical="center"/>
    </xf>
    <xf numFmtId="0" fontId="43" fillId="0" borderId="68" xfId="0" applyFont="1" applyBorder="1" applyAlignment="1">
      <alignment horizontal="center" vertical="center"/>
    </xf>
    <xf numFmtId="38" fontId="43" fillId="0" borderId="64" xfId="33" applyNumberFormat="1" applyFont="1" applyFill="1" applyBorder="1" applyAlignment="1" applyProtection="1">
      <alignment vertical="center"/>
      <protection locked="0"/>
    </xf>
    <xf numFmtId="179" fontId="34" fillId="0" borderId="16" xfId="0" applyNumberFormat="1" applyFont="1" applyFill="1" applyBorder="1" applyAlignment="1">
      <alignment horizontal="center" vertical="center"/>
    </xf>
    <xf numFmtId="0" fontId="43" fillId="0" borderId="76" xfId="0" applyFont="1" applyBorder="1" applyAlignment="1">
      <alignment horizontal="center" vertical="center"/>
    </xf>
    <xf numFmtId="0" fontId="43" fillId="0" borderId="14" xfId="0" applyFont="1" applyBorder="1" applyAlignment="1">
      <alignment vertical="center"/>
    </xf>
    <xf numFmtId="0" fontId="43" fillId="0" borderId="16" xfId="0" applyFont="1" applyBorder="1" applyAlignment="1" applyProtection="1">
      <alignment vertical="center"/>
      <protection locked="0"/>
    </xf>
    <xf numFmtId="0" fontId="43" fillId="0" borderId="69" xfId="0" applyFont="1" applyBorder="1" applyAlignment="1">
      <alignment vertical="center"/>
    </xf>
    <xf numFmtId="0" fontId="43" fillId="0" borderId="42" xfId="0" applyFont="1" applyBorder="1" applyAlignment="1" applyProtection="1">
      <alignment vertical="center"/>
      <protection locked="0"/>
    </xf>
    <xf numFmtId="0" fontId="43" fillId="0" borderId="46" xfId="0" applyFont="1" applyBorder="1" applyAlignment="1" applyProtection="1">
      <alignment vertical="center"/>
      <protection locked="0"/>
    </xf>
    <xf numFmtId="0" fontId="43" fillId="0" borderId="68" xfId="0" applyFont="1" applyBorder="1" applyAlignment="1">
      <alignment vertical="center"/>
    </xf>
    <xf numFmtId="0" fontId="43" fillId="0" borderId="19" xfId="0" applyFont="1" applyBorder="1" applyAlignment="1" applyProtection="1">
      <alignment vertical="center"/>
      <protection locked="0"/>
    </xf>
    <xf numFmtId="0" fontId="43" fillId="0" borderId="67" xfId="0" applyFont="1" applyBorder="1" applyAlignment="1">
      <alignment vertical="center"/>
    </xf>
    <xf numFmtId="0" fontId="43" fillId="0" borderId="43" xfId="0" applyFont="1" applyBorder="1" applyAlignment="1" applyProtection="1">
      <alignment vertical="center"/>
      <protection locked="0"/>
    </xf>
    <xf numFmtId="0" fontId="43" fillId="0" borderId="76" xfId="0" applyFont="1" applyBorder="1" applyAlignment="1" applyProtection="1">
      <alignment vertical="center"/>
      <protection locked="0"/>
    </xf>
    <xf numFmtId="0" fontId="43" fillId="0" borderId="70" xfId="0" applyFont="1" applyBorder="1" applyAlignment="1">
      <alignment vertical="center"/>
    </xf>
    <xf numFmtId="0" fontId="50" fillId="0" borderId="65" xfId="0" applyFont="1" applyFill="1" applyBorder="1" applyAlignment="1">
      <alignment horizontal="center" vertical="center"/>
    </xf>
    <xf numFmtId="0" fontId="49" fillId="0" borderId="45" xfId="0" applyFont="1" applyFill="1" applyBorder="1" applyAlignment="1">
      <alignment horizontal="center" vertical="center"/>
    </xf>
    <xf numFmtId="179" fontId="43" fillId="0" borderId="67" xfId="0" applyNumberFormat="1" applyFont="1" applyFill="1" applyBorder="1" applyAlignment="1" applyProtection="1">
      <alignment horizontal="center" vertical="center"/>
      <protection locked="0"/>
    </xf>
    <xf numFmtId="2" fontId="43" fillId="32" borderId="36" xfId="0" applyNumberFormat="1" applyFont="1" applyFill="1" applyBorder="1"/>
    <xf numFmtId="2" fontId="43" fillId="32" borderId="142" xfId="0" applyNumberFormat="1" applyFont="1" applyFill="1" applyBorder="1"/>
    <xf numFmtId="2" fontId="43" fillId="32" borderId="154" xfId="0" applyNumberFormat="1" applyFont="1" applyFill="1" applyBorder="1"/>
    <xf numFmtId="185" fontId="66" fillId="0" borderId="0" xfId="0" applyNumberFormat="1" applyFont="1" applyAlignment="1">
      <alignment horizontal="center" vertical="center"/>
    </xf>
    <xf numFmtId="0" fontId="66" fillId="0" borderId="0" xfId="0" applyFont="1" applyFill="1" applyBorder="1" applyAlignment="1">
      <alignment vertical="center"/>
    </xf>
    <xf numFmtId="40" fontId="43" fillId="0" borderId="15" xfId="33" applyNumberFormat="1" applyFont="1" applyFill="1" applyBorder="1" applyAlignment="1" applyProtection="1">
      <alignment vertical="center"/>
      <protection hidden="1"/>
    </xf>
    <xf numFmtId="40" fontId="43" fillId="0" borderId="78" xfId="33" applyNumberFormat="1" applyFont="1" applyFill="1" applyBorder="1" applyAlignment="1" applyProtection="1">
      <alignment vertical="center"/>
      <protection hidden="1"/>
    </xf>
    <xf numFmtId="0" fontId="43" fillId="0" borderId="78" xfId="33" applyNumberFormat="1" applyFont="1" applyFill="1" applyBorder="1" applyAlignment="1" applyProtection="1">
      <alignment vertical="center"/>
      <protection hidden="1"/>
    </xf>
    <xf numFmtId="0" fontId="43" fillId="0" borderId="75" xfId="33" applyNumberFormat="1" applyFont="1" applyFill="1" applyBorder="1" applyAlignment="1" applyProtection="1">
      <alignment vertical="center"/>
      <protection hidden="1"/>
    </xf>
    <xf numFmtId="0" fontId="43" fillId="0" borderId="15" xfId="33" applyNumberFormat="1" applyFont="1" applyFill="1" applyBorder="1" applyAlignment="1" applyProtection="1">
      <alignment vertical="center"/>
      <protection hidden="1"/>
    </xf>
    <xf numFmtId="0" fontId="43" fillId="0" borderId="77" xfId="33" applyNumberFormat="1" applyFont="1" applyFill="1" applyBorder="1" applyAlignment="1" applyProtection="1">
      <alignment vertical="center"/>
      <protection hidden="1"/>
    </xf>
    <xf numFmtId="0" fontId="43" fillId="29" borderId="28" xfId="0" applyNumberFormat="1" applyFont="1" applyFill="1" applyBorder="1" applyAlignment="1">
      <alignment horizontal="center" vertical="center"/>
    </xf>
    <xf numFmtId="0" fontId="43" fillId="28" borderId="28" xfId="33" applyNumberFormat="1" applyFont="1" applyFill="1" applyBorder="1" applyAlignment="1" applyProtection="1">
      <alignment horizontal="center" vertical="center"/>
      <protection hidden="1"/>
    </xf>
    <xf numFmtId="0" fontId="43" fillId="0" borderId="22" xfId="0" applyFont="1" applyFill="1" applyBorder="1" applyAlignment="1">
      <alignment vertical="center"/>
    </xf>
    <xf numFmtId="0" fontId="43" fillId="0" borderId="28" xfId="0" applyFont="1" applyFill="1" applyBorder="1" applyAlignment="1">
      <alignment vertical="center"/>
    </xf>
    <xf numFmtId="0" fontId="43" fillId="0" borderId="18" xfId="0" applyFont="1" applyFill="1" applyBorder="1" applyAlignment="1">
      <alignment vertical="center"/>
    </xf>
    <xf numFmtId="0" fontId="43" fillId="0" borderId="34" xfId="0" applyFont="1" applyFill="1" applyBorder="1" applyAlignment="1" applyProtection="1">
      <alignment vertical="center"/>
      <protection locked="0"/>
    </xf>
    <xf numFmtId="179" fontId="34" fillId="0" borderId="55" xfId="0" applyNumberFormat="1" applyFont="1" applyFill="1" applyBorder="1" applyAlignment="1">
      <alignment horizontal="center" vertical="center"/>
    </xf>
    <xf numFmtId="0" fontId="56" fillId="0" borderId="28" xfId="0" applyFont="1" applyFill="1" applyBorder="1" applyAlignment="1">
      <alignment horizontal="center" vertical="center"/>
    </xf>
    <xf numFmtId="0" fontId="56" fillId="0" borderId="28" xfId="33" applyNumberFormat="1" applyFont="1" applyFill="1" applyBorder="1" applyAlignment="1" applyProtection="1">
      <alignment horizontal="center" vertical="center"/>
      <protection hidden="1"/>
    </xf>
    <xf numFmtId="0" fontId="43" fillId="32" borderId="28" xfId="0" applyFont="1" applyFill="1" applyBorder="1" applyAlignment="1" applyProtection="1">
      <alignment vertical="center"/>
      <protection locked="0"/>
    </xf>
    <xf numFmtId="193" fontId="43" fillId="0" borderId="0" xfId="0" applyNumberFormat="1" applyFont="1" applyAlignment="1">
      <alignment vertical="center"/>
    </xf>
    <xf numFmtId="0" fontId="10" fillId="0" borderId="0" xfId="0" applyFont="1" applyBorder="1" applyAlignment="1">
      <alignment vertical="center" wrapText="1"/>
    </xf>
    <xf numFmtId="0" fontId="0" fillId="0" borderId="28" xfId="0" applyBorder="1" applyAlignment="1">
      <alignment horizontal="center" vertical="center"/>
    </xf>
    <xf numFmtId="0" fontId="0" fillId="0" borderId="28" xfId="0" applyBorder="1" applyAlignment="1">
      <alignment horizontal="center" vertical="center" wrapText="1"/>
    </xf>
    <xf numFmtId="190" fontId="34" fillId="0" borderId="0" xfId="0" applyNumberFormat="1" applyFont="1" applyFill="1" applyAlignment="1">
      <alignment vertical="center"/>
    </xf>
    <xf numFmtId="0" fontId="35" fillId="0" borderId="63" xfId="0" applyFont="1" applyFill="1" applyBorder="1" applyAlignment="1">
      <alignment horizontal="center" vertical="center" wrapText="1"/>
    </xf>
    <xf numFmtId="0" fontId="34" fillId="0" borderId="65" xfId="0" applyFont="1" applyFill="1" applyBorder="1" applyAlignment="1">
      <alignment horizontal="center" vertical="center" wrapText="1"/>
    </xf>
    <xf numFmtId="192" fontId="34" fillId="0" borderId="0" xfId="0" applyNumberFormat="1" applyFont="1" applyBorder="1" applyAlignment="1">
      <alignment vertical="center"/>
    </xf>
    <xf numFmtId="192" fontId="34" fillId="0" borderId="65" xfId="0" applyNumberFormat="1" applyFont="1" applyBorder="1" applyAlignment="1">
      <alignment vertical="center"/>
    </xf>
    <xf numFmtId="192" fontId="34" fillId="0" borderId="0" xfId="0" applyNumberFormat="1" applyFont="1" applyAlignment="1">
      <alignment vertical="center"/>
    </xf>
    <xf numFmtId="192" fontId="34" fillId="0" borderId="66" xfId="0" applyNumberFormat="1" applyFont="1" applyBorder="1" applyAlignment="1">
      <alignment vertical="center"/>
    </xf>
    <xf numFmtId="192" fontId="34" fillId="0" borderId="0" xfId="0" applyNumberFormat="1" applyFont="1" applyFill="1" applyBorder="1" applyAlignment="1">
      <alignment vertical="center"/>
    </xf>
    <xf numFmtId="188" fontId="0" fillId="29" borderId="68" xfId="0" applyNumberFormat="1" applyFont="1" applyFill="1" applyBorder="1" applyAlignment="1" applyProtection="1">
      <alignment vertical="center"/>
    </xf>
    <xf numFmtId="188" fontId="0" fillId="29" borderId="31" xfId="0" applyNumberFormat="1" applyFont="1" applyFill="1" applyBorder="1" applyAlignment="1" applyProtection="1">
      <alignment vertical="center"/>
    </xf>
    <xf numFmtId="188" fontId="0" fillId="29" borderId="18" xfId="0" applyNumberFormat="1" applyFont="1" applyFill="1" applyBorder="1" applyAlignment="1" applyProtection="1">
      <alignment vertical="center"/>
    </xf>
    <xf numFmtId="0" fontId="30" fillId="0" borderId="0" xfId="0" applyFont="1" applyAlignment="1">
      <alignment vertical="top"/>
    </xf>
    <xf numFmtId="0" fontId="34" fillId="0" borderId="0" xfId="0" applyFont="1" applyFill="1" applyBorder="1" applyAlignment="1">
      <alignment horizontal="center" vertical="center" wrapText="1"/>
    </xf>
    <xf numFmtId="56" fontId="66" fillId="0" borderId="0" xfId="43" applyNumberFormat="1" applyFont="1" applyAlignment="1">
      <alignment vertical="center"/>
    </xf>
    <xf numFmtId="2" fontId="43" fillId="0" borderId="38" xfId="0" applyNumberFormat="1" applyFont="1" applyFill="1" applyBorder="1"/>
    <xf numFmtId="0" fontId="43" fillId="32" borderId="74" xfId="0" applyNumberFormat="1" applyFont="1" applyFill="1" applyBorder="1" applyAlignment="1">
      <alignment horizontal="center" vertical="center"/>
    </xf>
    <xf numFmtId="0" fontId="43" fillId="32" borderId="77" xfId="0" applyNumberFormat="1" applyFont="1" applyFill="1" applyBorder="1" applyAlignment="1">
      <alignment horizontal="center" vertical="center"/>
    </xf>
    <xf numFmtId="0" fontId="43" fillId="32" borderId="15" xfId="0" applyFont="1" applyFill="1" applyBorder="1" applyAlignment="1" applyProtection="1">
      <alignment horizontal="center" vertical="center"/>
      <protection locked="0"/>
    </xf>
    <xf numFmtId="0" fontId="43" fillId="32" borderId="74" xfId="0" applyFont="1" applyFill="1" applyBorder="1" applyAlignment="1" applyProtection="1">
      <alignment horizontal="center" vertical="center"/>
      <protection locked="0"/>
    </xf>
    <xf numFmtId="0" fontId="43" fillId="32" borderId="77" xfId="0" applyFont="1" applyFill="1" applyBorder="1" applyAlignment="1" applyProtection="1">
      <alignment horizontal="center" vertical="center"/>
      <protection locked="0"/>
    </xf>
    <xf numFmtId="0" fontId="43" fillId="32" borderId="77" xfId="33" applyNumberFormat="1" applyFont="1" applyFill="1" applyBorder="1" applyAlignment="1" applyProtection="1">
      <alignment horizontal="center" vertical="center"/>
      <protection locked="0"/>
    </xf>
    <xf numFmtId="0" fontId="43" fillId="32" borderId="15" xfId="0" applyNumberFormat="1" applyFont="1" applyFill="1" applyBorder="1" applyAlignment="1" applyProtection="1">
      <alignment horizontal="center" vertical="center"/>
      <protection locked="0"/>
    </xf>
    <xf numFmtId="0" fontId="43" fillId="32" borderId="74" xfId="0" applyNumberFormat="1" applyFont="1" applyFill="1" applyBorder="1" applyAlignment="1" applyProtection="1">
      <alignment horizontal="center" vertical="center"/>
      <protection locked="0"/>
    </xf>
    <xf numFmtId="0" fontId="43" fillId="32" borderId="77" xfId="0" applyNumberFormat="1" applyFont="1" applyFill="1" applyBorder="1" applyAlignment="1" applyProtection="1">
      <alignment horizontal="center" vertical="center"/>
      <protection locked="0"/>
    </xf>
    <xf numFmtId="0" fontId="43" fillId="32" borderId="75" xfId="0" applyFont="1" applyFill="1" applyBorder="1" applyAlignment="1" applyProtection="1">
      <alignment horizontal="center" vertical="center"/>
      <protection locked="0"/>
    </xf>
    <xf numFmtId="0" fontId="43" fillId="32" borderId="78" xfId="0" applyFont="1" applyFill="1" applyBorder="1" applyAlignment="1" applyProtection="1">
      <alignment horizontal="center" vertical="center"/>
      <protection locked="0"/>
    </xf>
    <xf numFmtId="0" fontId="43" fillId="32" borderId="15" xfId="0" applyNumberFormat="1" applyFont="1" applyFill="1" applyBorder="1" applyAlignment="1">
      <alignment horizontal="center" vertical="center"/>
    </xf>
    <xf numFmtId="0" fontId="43" fillId="0" borderId="49" xfId="0" applyFont="1" applyBorder="1"/>
    <xf numFmtId="184" fontId="43" fillId="0" borderId="21" xfId="0" applyNumberFormat="1" applyFont="1" applyFill="1" applyBorder="1" applyAlignment="1" applyProtection="1">
      <alignment vertical="center"/>
      <protection hidden="1"/>
    </xf>
    <xf numFmtId="184" fontId="43" fillId="0" borderId="23" xfId="0" applyNumberFormat="1" applyFont="1" applyFill="1" applyBorder="1" applyAlignment="1" applyProtection="1">
      <alignment vertical="center"/>
      <protection hidden="1"/>
    </xf>
    <xf numFmtId="184" fontId="43" fillId="0" borderId="30" xfId="0" applyNumberFormat="1" applyFont="1" applyFill="1" applyBorder="1" applyAlignment="1" applyProtection="1">
      <alignment vertical="center"/>
      <protection hidden="1"/>
    </xf>
    <xf numFmtId="184" fontId="43" fillId="0" borderId="27" xfId="0" applyNumberFormat="1" applyFont="1" applyFill="1" applyBorder="1" applyAlignment="1" applyProtection="1">
      <alignment vertical="center"/>
      <protection hidden="1"/>
    </xf>
    <xf numFmtId="181" fontId="43" fillId="0" borderId="22" xfId="0" applyNumberFormat="1" applyFont="1" applyFill="1" applyBorder="1" applyAlignment="1" applyProtection="1">
      <alignment vertical="center"/>
      <protection hidden="1"/>
    </xf>
    <xf numFmtId="181" fontId="43" fillId="0" borderId="34" xfId="0" applyNumberFormat="1" applyFont="1" applyFill="1" applyBorder="1" applyAlignment="1" applyProtection="1">
      <alignment vertical="center"/>
      <protection hidden="1"/>
    </xf>
    <xf numFmtId="181" fontId="43" fillId="0" borderId="18" xfId="0" applyNumberFormat="1" applyFont="1" applyFill="1" applyBorder="1" applyAlignment="1" applyProtection="1">
      <alignment vertical="center"/>
      <protection hidden="1"/>
    </xf>
    <xf numFmtId="181" fontId="43" fillId="0" borderId="44" xfId="0" applyNumberFormat="1" applyFont="1" applyFill="1" applyBorder="1" applyAlignment="1" applyProtection="1">
      <alignment vertical="center"/>
      <protection hidden="1"/>
    </xf>
    <xf numFmtId="181" fontId="43" fillId="0" borderId="73" xfId="0" applyNumberFormat="1" applyFont="1" applyFill="1" applyBorder="1" applyAlignment="1" applyProtection="1">
      <alignment vertical="center"/>
      <protection hidden="1"/>
    </xf>
    <xf numFmtId="181" fontId="43" fillId="0" borderId="28" xfId="0" applyNumberFormat="1" applyFont="1" applyFill="1" applyBorder="1" applyAlignment="1" applyProtection="1">
      <alignment vertical="center"/>
      <protection hidden="1"/>
    </xf>
    <xf numFmtId="181" fontId="43" fillId="0" borderId="29" xfId="0" applyNumberFormat="1" applyFont="1" applyFill="1" applyBorder="1" applyAlignment="1" applyProtection="1">
      <alignment vertical="center"/>
      <protection hidden="1"/>
    </xf>
    <xf numFmtId="40" fontId="43" fillId="0" borderId="32" xfId="33" applyNumberFormat="1" applyFont="1" applyFill="1" applyBorder="1" applyAlignment="1" applyProtection="1">
      <alignment vertical="center"/>
      <protection hidden="1"/>
    </xf>
    <xf numFmtId="0" fontId="43" fillId="0" borderId="44" xfId="33" applyNumberFormat="1" applyFont="1" applyFill="1" applyBorder="1" applyAlignment="1" applyProtection="1">
      <alignment vertical="center"/>
      <protection hidden="1"/>
    </xf>
    <xf numFmtId="0" fontId="43" fillId="0" borderId="34" xfId="33" applyNumberFormat="1" applyFont="1" applyFill="1" applyBorder="1" applyAlignment="1" applyProtection="1">
      <alignment vertical="center"/>
      <protection hidden="1"/>
    </xf>
    <xf numFmtId="0" fontId="43" fillId="38" borderId="25" xfId="0" applyNumberFormat="1" applyFont="1" applyFill="1" applyBorder="1" applyAlignment="1">
      <alignment horizontal="center" vertical="center"/>
    </xf>
    <xf numFmtId="0" fontId="43" fillId="38" borderId="34" xfId="0" applyNumberFormat="1" applyFont="1" applyFill="1" applyBorder="1" applyAlignment="1">
      <alignment horizontal="center" vertical="center"/>
    </xf>
    <xf numFmtId="0" fontId="43" fillId="38" borderId="60" xfId="0" applyNumberFormat="1" applyFont="1" applyFill="1" applyBorder="1" applyAlignment="1">
      <alignment horizontal="center" vertical="center"/>
    </xf>
    <xf numFmtId="0" fontId="43" fillId="38" borderId="73" xfId="0" applyNumberFormat="1" applyFont="1" applyFill="1" applyBorder="1" applyAlignment="1">
      <alignment horizontal="center" vertical="center"/>
    </xf>
    <xf numFmtId="0" fontId="43" fillId="38" borderId="0" xfId="0" applyNumberFormat="1" applyFont="1" applyFill="1" applyBorder="1" applyAlignment="1">
      <alignment horizontal="center" vertical="center"/>
    </xf>
    <xf numFmtId="0" fontId="43" fillId="38" borderId="20" xfId="33" applyNumberFormat="1" applyFont="1" applyFill="1" applyBorder="1" applyAlignment="1" applyProtection="1">
      <alignment horizontal="center" vertical="center"/>
      <protection hidden="1"/>
    </xf>
    <xf numFmtId="0" fontId="43" fillId="38" borderId="82" xfId="33" applyNumberFormat="1" applyFont="1" applyFill="1" applyBorder="1" applyAlignment="1" applyProtection="1">
      <alignment horizontal="center" vertical="center"/>
      <protection hidden="1"/>
    </xf>
    <xf numFmtId="0" fontId="43" fillId="38" borderId="71" xfId="0" applyNumberFormat="1" applyFont="1" applyFill="1" applyBorder="1" applyAlignment="1">
      <alignment horizontal="center" vertical="center"/>
    </xf>
    <xf numFmtId="0" fontId="43" fillId="38" borderId="71" xfId="0" applyFont="1" applyFill="1" applyBorder="1" applyAlignment="1">
      <alignment horizontal="center"/>
    </xf>
    <xf numFmtId="0" fontId="43" fillId="38" borderId="73" xfId="0" applyFont="1" applyFill="1" applyBorder="1" applyAlignment="1">
      <alignment horizontal="center"/>
    </xf>
    <xf numFmtId="0" fontId="43" fillId="38" borderId="36" xfId="0" applyFont="1" applyFill="1" applyBorder="1" applyAlignment="1">
      <alignment horizontal="center"/>
    </xf>
    <xf numFmtId="181" fontId="43" fillId="25" borderId="49" xfId="0" applyNumberFormat="1" applyFont="1" applyFill="1" applyBorder="1" applyAlignment="1" applyProtection="1">
      <alignment vertical="center"/>
      <protection hidden="1"/>
    </xf>
    <xf numFmtId="178" fontId="43" fillId="25" borderId="15" xfId="0" applyNumberFormat="1" applyFont="1" applyFill="1" applyBorder="1" applyAlignment="1" applyProtection="1">
      <alignment vertical="center"/>
      <protection hidden="1"/>
    </xf>
    <xf numFmtId="178" fontId="43" fillId="25" borderId="78" xfId="0" applyNumberFormat="1" applyFont="1" applyFill="1" applyBorder="1" applyAlignment="1" applyProtection="1">
      <alignment vertical="center"/>
      <protection hidden="1"/>
    </xf>
    <xf numFmtId="178" fontId="43" fillId="25" borderId="36" xfId="0" applyNumberFormat="1" applyFont="1" applyFill="1" applyBorder="1" applyAlignment="1" applyProtection="1">
      <alignment vertical="center"/>
      <protection hidden="1"/>
    </xf>
    <xf numFmtId="178" fontId="43" fillId="25" borderId="74" xfId="0" applyNumberFormat="1" applyFont="1" applyFill="1" applyBorder="1" applyAlignment="1" applyProtection="1">
      <alignment vertical="center"/>
      <protection hidden="1"/>
    </xf>
    <xf numFmtId="178" fontId="43" fillId="25" borderId="77" xfId="0" applyNumberFormat="1" applyFont="1" applyFill="1" applyBorder="1" applyAlignment="1" applyProtection="1">
      <alignment vertical="center"/>
      <protection hidden="1"/>
    </xf>
    <xf numFmtId="178" fontId="43" fillId="25" borderId="75" xfId="0" applyNumberFormat="1" applyFont="1" applyFill="1" applyBorder="1" applyAlignment="1" applyProtection="1">
      <alignment vertical="center"/>
      <protection hidden="1"/>
    </xf>
    <xf numFmtId="38" fontId="43" fillId="0" borderId="0" xfId="0" applyNumberFormat="1" applyFont="1" applyBorder="1"/>
    <xf numFmtId="178" fontId="43" fillId="25" borderId="38" xfId="0" applyNumberFormat="1" applyFont="1" applyFill="1" applyBorder="1" applyAlignment="1" applyProtection="1">
      <alignment vertical="center"/>
      <protection hidden="1"/>
    </xf>
    <xf numFmtId="0" fontId="43" fillId="32" borderId="32" xfId="0" applyFont="1" applyFill="1" applyBorder="1" applyAlignment="1" applyProtection="1">
      <alignment vertical="center"/>
      <protection locked="0"/>
    </xf>
    <xf numFmtId="0" fontId="60" fillId="36" borderId="0" xfId="0" applyFont="1" applyFill="1" applyBorder="1" applyAlignment="1">
      <alignment horizontal="center" vertical="center"/>
    </xf>
    <xf numFmtId="56" fontId="58" fillId="0" borderId="0" xfId="0" applyNumberFormat="1" applyFont="1" applyBorder="1" applyAlignment="1">
      <alignment vertical="center"/>
    </xf>
    <xf numFmtId="0" fontId="58" fillId="0" borderId="0" xfId="0" applyFont="1" applyBorder="1" applyAlignment="1">
      <alignment vertical="center"/>
    </xf>
    <xf numFmtId="181" fontId="0" fillId="31" borderId="51" xfId="0" applyNumberFormat="1" applyFont="1" applyFill="1" applyBorder="1" applyAlignment="1" applyProtection="1">
      <alignment vertical="center"/>
    </xf>
    <xf numFmtId="0" fontId="0" fillId="0" borderId="61" xfId="0" applyFont="1" applyBorder="1" applyProtection="1">
      <protection locked="0"/>
    </xf>
    <xf numFmtId="0" fontId="0" fillId="0" borderId="14" xfId="0" applyFont="1" applyBorder="1" applyAlignment="1">
      <alignment horizontal="center" vertical="center"/>
    </xf>
    <xf numFmtId="181" fontId="0" fillId="31" borderId="28" xfId="0" applyNumberFormat="1" applyFont="1" applyFill="1" applyBorder="1" applyAlignment="1" applyProtection="1">
      <alignment horizontal="right" vertical="center"/>
      <protection locked="0"/>
    </xf>
    <xf numFmtId="0" fontId="0" fillId="0" borderId="38" xfId="0" applyFont="1" applyBorder="1" applyProtection="1">
      <protection locked="0"/>
    </xf>
    <xf numFmtId="181" fontId="0" fillId="31" borderId="16" xfId="0" applyNumberFormat="1" applyFont="1" applyFill="1" applyBorder="1" applyAlignment="1" applyProtection="1">
      <alignment vertical="center"/>
    </xf>
    <xf numFmtId="185" fontId="0" fillId="31" borderId="51" xfId="0" applyNumberFormat="1" applyFont="1" applyFill="1" applyBorder="1" applyAlignment="1" applyProtection="1">
      <alignment horizontal="center" vertical="center"/>
    </xf>
    <xf numFmtId="185" fontId="0" fillId="31" borderId="51" xfId="0" applyNumberFormat="1" applyFont="1" applyFill="1" applyBorder="1" applyAlignment="1" applyProtection="1">
      <alignment horizontal="center" vertical="center"/>
      <protection locked="0"/>
    </xf>
    <xf numFmtId="185" fontId="0" fillId="31" borderId="54" xfId="0" applyNumberFormat="1" applyFont="1" applyFill="1" applyBorder="1" applyAlignment="1" applyProtection="1">
      <alignment horizontal="center" vertical="center"/>
      <protection locked="0"/>
    </xf>
    <xf numFmtId="185" fontId="0" fillId="31" borderId="47" xfId="0" applyNumberFormat="1" applyFont="1" applyFill="1" applyBorder="1" applyAlignment="1" applyProtection="1">
      <alignment horizontal="center" vertical="center"/>
      <protection locked="0"/>
    </xf>
    <xf numFmtId="185" fontId="0" fillId="31" borderId="42" xfId="0" applyNumberFormat="1" applyFont="1" applyFill="1" applyBorder="1" applyAlignment="1" applyProtection="1">
      <alignment horizontal="center" vertical="center"/>
    </xf>
    <xf numFmtId="185" fontId="0" fillId="31" borderId="42" xfId="0" applyNumberFormat="1" applyFont="1" applyFill="1" applyBorder="1" applyAlignment="1" applyProtection="1">
      <alignment horizontal="center" vertical="center"/>
      <protection locked="0"/>
    </xf>
    <xf numFmtId="185" fontId="0" fillId="31" borderId="46" xfId="0" applyNumberFormat="1" applyFont="1" applyFill="1" applyBorder="1" applyAlignment="1" applyProtection="1">
      <alignment horizontal="center" vertical="center"/>
      <protection locked="0"/>
    </xf>
    <xf numFmtId="185" fontId="0" fillId="31" borderId="19" xfId="0" applyNumberFormat="1" applyFont="1" applyFill="1" applyBorder="1" applyAlignment="1" applyProtection="1">
      <alignment horizontal="center" vertical="center"/>
      <protection locked="0"/>
    </xf>
    <xf numFmtId="181" fontId="0" fillId="31" borderId="15" xfId="0" applyNumberFormat="1" applyFont="1" applyFill="1" applyBorder="1" applyAlignment="1" applyProtection="1">
      <alignment vertical="center"/>
    </xf>
    <xf numFmtId="181" fontId="0" fillId="31" borderId="74" xfId="0" applyNumberFormat="1" applyFont="1" applyFill="1" applyBorder="1" applyAlignment="1" applyProtection="1">
      <alignment vertical="center"/>
    </xf>
    <xf numFmtId="185" fontId="0" fillId="31" borderId="74" xfId="0" applyNumberFormat="1" applyFont="1" applyFill="1" applyBorder="1" applyAlignment="1" applyProtection="1">
      <alignment horizontal="center" vertical="center"/>
    </xf>
    <xf numFmtId="185" fontId="0" fillId="31" borderId="74" xfId="0" applyNumberFormat="1" applyFont="1" applyFill="1" applyBorder="1" applyAlignment="1" applyProtection="1">
      <alignment horizontal="center" vertical="center"/>
      <protection locked="0"/>
    </xf>
    <xf numFmtId="185" fontId="0" fillId="31" borderId="77" xfId="0" applyNumberFormat="1" applyFont="1" applyFill="1" applyBorder="1" applyAlignment="1" applyProtection="1">
      <alignment horizontal="center" vertical="center"/>
      <protection locked="0"/>
    </xf>
    <xf numFmtId="185" fontId="0" fillId="31" borderId="75" xfId="0" applyNumberFormat="1" applyFont="1" applyFill="1" applyBorder="1" applyAlignment="1" applyProtection="1">
      <alignment horizontal="center" vertical="center"/>
      <protection locked="0"/>
    </xf>
    <xf numFmtId="56" fontId="0" fillId="0" borderId="0" xfId="0" applyNumberFormat="1"/>
    <xf numFmtId="0" fontId="10" fillId="0" borderId="65" xfId="0" applyFont="1" applyBorder="1"/>
    <xf numFmtId="0" fontId="10" fillId="0" borderId="60" xfId="0" applyFont="1" applyBorder="1" applyAlignment="1">
      <alignment vertical="center" wrapText="1"/>
    </xf>
    <xf numFmtId="179" fontId="34" fillId="29" borderId="49" xfId="0" applyNumberFormat="1" applyFont="1" applyFill="1" applyBorder="1" applyAlignment="1">
      <alignment horizontal="center" vertical="center"/>
    </xf>
    <xf numFmtId="2" fontId="43" fillId="0" borderId="36" xfId="0" applyNumberFormat="1" applyFont="1" applyFill="1" applyBorder="1"/>
    <xf numFmtId="2" fontId="43" fillId="0" borderId="154" xfId="0" applyNumberFormat="1" applyFont="1" applyFill="1" applyBorder="1"/>
    <xf numFmtId="2" fontId="43" fillId="0" borderId="142" xfId="0" applyNumberFormat="1" applyFont="1" applyFill="1" applyBorder="1"/>
    <xf numFmtId="0" fontId="43" fillId="0" borderId="11" xfId="0" applyFont="1" applyFill="1" applyBorder="1" applyAlignment="1">
      <alignment horizontal="center" vertical="center"/>
    </xf>
    <xf numFmtId="0" fontId="43" fillId="0" borderId="15" xfId="0" applyNumberFormat="1" applyFont="1" applyFill="1" applyBorder="1" applyAlignment="1">
      <alignment horizontal="center" vertical="center"/>
    </xf>
    <xf numFmtId="0" fontId="43" fillId="0" borderId="74" xfId="0" applyNumberFormat="1" applyFont="1" applyFill="1" applyBorder="1" applyAlignment="1">
      <alignment horizontal="center" vertical="center"/>
    </xf>
    <xf numFmtId="0" fontId="43" fillId="0" borderId="77" xfId="0" applyNumberFormat="1" applyFont="1" applyFill="1" applyBorder="1" applyAlignment="1">
      <alignment horizontal="center" vertical="center"/>
    </xf>
    <xf numFmtId="0" fontId="43" fillId="0" borderId="15" xfId="0" applyFont="1" applyFill="1" applyBorder="1" applyAlignment="1" applyProtection="1">
      <alignment horizontal="center" vertical="center"/>
      <protection locked="0"/>
    </xf>
    <xf numFmtId="0" fontId="43" fillId="0" borderId="74" xfId="0" applyFont="1" applyFill="1" applyBorder="1" applyAlignment="1" applyProtection="1">
      <alignment horizontal="center" vertical="center"/>
      <protection locked="0"/>
    </xf>
    <xf numFmtId="0" fontId="43" fillId="0" borderId="77" xfId="0" applyFont="1" applyFill="1" applyBorder="1" applyAlignment="1" applyProtection="1">
      <alignment horizontal="center" vertical="center"/>
      <protection locked="0"/>
    </xf>
    <xf numFmtId="0" fontId="43" fillId="0" borderId="77" xfId="33" applyNumberFormat="1" applyFont="1" applyFill="1" applyBorder="1" applyAlignment="1" applyProtection="1">
      <alignment horizontal="center" vertical="center"/>
      <protection locked="0"/>
    </xf>
    <xf numFmtId="0" fontId="43" fillId="0" borderId="15" xfId="0" applyNumberFormat="1" applyFont="1" applyFill="1" applyBorder="1" applyAlignment="1" applyProtection="1">
      <alignment horizontal="center" vertical="center"/>
      <protection locked="0"/>
    </xf>
    <xf numFmtId="0" fontId="43" fillId="0" borderId="74" xfId="0" applyNumberFormat="1" applyFont="1" applyFill="1" applyBorder="1" applyAlignment="1" applyProtection="1">
      <alignment horizontal="center" vertical="center"/>
      <protection locked="0"/>
    </xf>
    <xf numFmtId="0" fontId="43" fillId="0" borderId="77" xfId="0" applyNumberFormat="1" applyFont="1" applyFill="1" applyBorder="1" applyAlignment="1" applyProtection="1">
      <alignment horizontal="center" vertical="center"/>
      <protection locked="0"/>
    </xf>
    <xf numFmtId="0" fontId="43" fillId="0" borderId="75" xfId="0" applyFont="1" applyFill="1" applyBorder="1" applyAlignment="1" applyProtection="1">
      <alignment horizontal="center" vertical="center"/>
      <protection locked="0"/>
    </xf>
    <xf numFmtId="0" fontId="43" fillId="0" borderId="78" xfId="0" applyFont="1" applyFill="1" applyBorder="1" applyAlignment="1" applyProtection="1">
      <alignment horizontal="center" vertical="center"/>
      <protection locked="0"/>
    </xf>
    <xf numFmtId="192" fontId="34" fillId="0" borderId="65" xfId="0" applyNumberFormat="1" applyFont="1" applyFill="1" applyBorder="1" applyAlignment="1">
      <alignment vertical="center"/>
    </xf>
    <xf numFmtId="14" fontId="34" fillId="0" borderId="63" xfId="0" applyNumberFormat="1" applyFont="1" applyBorder="1" applyAlignment="1">
      <alignment vertical="center"/>
    </xf>
    <xf numFmtId="0" fontId="34" fillId="0" borderId="63" xfId="0" applyFont="1" applyBorder="1" applyAlignment="1">
      <alignment vertical="center"/>
    </xf>
    <xf numFmtId="192" fontId="34" fillId="0" borderId="63" xfId="0" applyNumberFormat="1" applyFont="1" applyBorder="1" applyAlignment="1">
      <alignment vertical="center"/>
    </xf>
    <xf numFmtId="192" fontId="34" fillId="0" borderId="63" xfId="0" applyNumberFormat="1" applyFont="1" applyFill="1" applyBorder="1" applyAlignment="1">
      <alignment vertical="center"/>
    </xf>
    <xf numFmtId="190" fontId="34" fillId="0" borderId="63" xfId="0" applyNumberFormat="1" applyFont="1" applyBorder="1" applyAlignment="1">
      <alignment vertical="center"/>
    </xf>
    <xf numFmtId="0" fontId="35" fillId="0" borderId="0" xfId="0" applyFont="1" applyAlignment="1">
      <alignment horizontal="left" vertical="center"/>
    </xf>
    <xf numFmtId="0" fontId="78" fillId="0" borderId="0" xfId="0" applyFont="1" applyAlignment="1">
      <alignment horizontal="left" vertical="center"/>
    </xf>
    <xf numFmtId="0" fontId="34" fillId="32" borderId="0" xfId="0" applyFont="1" applyFill="1" applyAlignment="1">
      <alignment vertical="center"/>
    </xf>
    <xf numFmtId="14" fontId="34" fillId="0" borderId="179" xfId="0" applyNumberFormat="1" applyFont="1" applyBorder="1" applyAlignment="1">
      <alignment vertical="center"/>
    </xf>
    <xf numFmtId="0" fontId="34" fillId="0" borderId="179" xfId="0" applyFont="1" applyBorder="1" applyAlignment="1">
      <alignment vertical="center"/>
    </xf>
    <xf numFmtId="192" fontId="34" fillId="0" borderId="179" xfId="0" applyNumberFormat="1" applyFont="1" applyBorder="1" applyAlignment="1">
      <alignment vertical="center"/>
    </xf>
    <xf numFmtId="192" fontId="34" fillId="0" borderId="179" xfId="0" applyNumberFormat="1" applyFont="1" applyFill="1" applyBorder="1" applyAlignment="1">
      <alignment vertical="center"/>
    </xf>
    <xf numFmtId="0" fontId="35" fillId="0" borderId="179" xfId="0" applyFont="1" applyBorder="1" applyAlignment="1">
      <alignment vertical="center"/>
    </xf>
    <xf numFmtId="190" fontId="34" fillId="0" borderId="179" xfId="0" applyNumberFormat="1" applyFont="1" applyBorder="1" applyAlignment="1">
      <alignment vertical="center"/>
    </xf>
    <xf numFmtId="0" fontId="34" fillId="32" borderId="179" xfId="0" applyFont="1" applyFill="1" applyBorder="1" applyAlignment="1">
      <alignment vertical="center"/>
    </xf>
    <xf numFmtId="0" fontId="34" fillId="0" borderId="179" xfId="0" applyNumberFormat="1" applyFont="1" applyBorder="1" applyAlignment="1">
      <alignment vertical="center"/>
    </xf>
    <xf numFmtId="0" fontId="34" fillId="0" borderId="179" xfId="0" applyFont="1" applyFill="1" applyBorder="1" applyAlignment="1">
      <alignment vertical="center"/>
    </xf>
    <xf numFmtId="191" fontId="34" fillId="0" borderId="179" xfId="0" applyNumberFormat="1" applyFont="1" applyBorder="1" applyAlignment="1">
      <alignment vertical="center"/>
    </xf>
    <xf numFmtId="0" fontId="34" fillId="40" borderId="63" xfId="0" applyFont="1" applyFill="1" applyBorder="1" applyAlignment="1">
      <alignment vertical="center"/>
    </xf>
    <xf numFmtId="190" fontId="34" fillId="40" borderId="63" xfId="0" applyNumberFormat="1" applyFont="1" applyFill="1" applyBorder="1" applyAlignment="1">
      <alignment vertical="center"/>
    </xf>
    <xf numFmtId="190" fontId="34" fillId="40" borderId="0" xfId="0" applyNumberFormat="1" applyFont="1" applyFill="1" applyBorder="1" applyAlignment="1">
      <alignment vertical="center"/>
    </xf>
    <xf numFmtId="0" fontId="35" fillId="40" borderId="63" xfId="0" applyFont="1" applyFill="1" applyBorder="1" applyAlignment="1">
      <alignment vertical="center"/>
    </xf>
    <xf numFmtId="0" fontId="35" fillId="40" borderId="63" xfId="0" applyFont="1" applyFill="1" applyBorder="1" applyAlignment="1">
      <alignment horizontal="center" vertical="center"/>
    </xf>
    <xf numFmtId="0" fontId="34" fillId="40" borderId="63" xfId="0" applyFont="1" applyFill="1" applyBorder="1" applyAlignment="1">
      <alignment horizontal="center" vertical="center"/>
    </xf>
    <xf numFmtId="190" fontId="34" fillId="40" borderId="63" xfId="0" applyNumberFormat="1" applyFont="1" applyFill="1" applyBorder="1" applyAlignment="1">
      <alignment horizontal="center" vertical="center"/>
    </xf>
    <xf numFmtId="0" fontId="80" fillId="0" borderId="52" xfId="0" applyFont="1" applyBorder="1" applyAlignment="1">
      <alignment horizontal="right" vertical="center"/>
    </xf>
    <xf numFmtId="0" fontId="80" fillId="0" borderId="51" xfId="0" applyFont="1" applyBorder="1" applyAlignment="1">
      <alignment horizontal="right" vertical="center"/>
    </xf>
    <xf numFmtId="0" fontId="80" fillId="0" borderId="54" xfId="0" applyFont="1" applyBorder="1" applyAlignment="1">
      <alignment horizontal="right" vertical="center"/>
    </xf>
    <xf numFmtId="179" fontId="36" fillId="29" borderId="49" xfId="0" applyNumberFormat="1" applyFont="1" applyFill="1" applyBorder="1" applyAlignment="1">
      <alignment horizontal="center" vertical="center"/>
    </xf>
    <xf numFmtId="0" fontId="54" fillId="29" borderId="11" xfId="0" applyFont="1" applyFill="1" applyBorder="1" applyAlignment="1">
      <alignment horizontal="center" vertical="center"/>
    </xf>
    <xf numFmtId="0" fontId="10" fillId="35" borderId="0" xfId="0" applyFont="1" applyFill="1" applyAlignment="1">
      <alignment horizontal="right"/>
    </xf>
    <xf numFmtId="0" fontId="43" fillId="35" borderId="0" xfId="0" applyFont="1" applyFill="1"/>
    <xf numFmtId="2" fontId="43" fillId="0" borderId="36" xfId="0" applyNumberFormat="1" applyFont="1" applyFill="1" applyBorder="1" applyAlignment="1">
      <alignment horizontal="center"/>
    </xf>
    <xf numFmtId="2" fontId="43" fillId="0" borderId="154" xfId="0" applyNumberFormat="1" applyFont="1" applyFill="1" applyBorder="1" applyAlignment="1">
      <alignment horizontal="center"/>
    </xf>
    <xf numFmtId="2" fontId="43" fillId="0" borderId="142" xfId="0" applyNumberFormat="1" applyFont="1" applyFill="1" applyBorder="1" applyAlignment="1">
      <alignment horizontal="center"/>
    </xf>
    <xf numFmtId="2" fontId="43" fillId="0" borderId="78" xfId="0" applyNumberFormat="1" applyFont="1" applyFill="1" applyBorder="1" applyAlignment="1">
      <alignment horizontal="center"/>
    </xf>
    <xf numFmtId="2" fontId="43" fillId="0" borderId="74" xfId="0" applyNumberFormat="1" applyFont="1" applyFill="1" applyBorder="1" applyAlignment="1">
      <alignment horizontal="center"/>
    </xf>
    <xf numFmtId="192" fontId="43" fillId="0" borderId="0" xfId="0" applyNumberFormat="1" applyFont="1" applyBorder="1" applyAlignment="1" applyProtection="1">
      <alignment vertical="center"/>
      <protection hidden="1"/>
    </xf>
    <xf numFmtId="0" fontId="67" fillId="0" borderId="0" xfId="0" applyFont="1" applyFill="1"/>
    <xf numFmtId="0" fontId="66" fillId="0" borderId="180" xfId="0" applyFont="1" applyFill="1" applyBorder="1" applyAlignment="1">
      <alignment horizontal="center" vertical="center"/>
    </xf>
    <xf numFmtId="181" fontId="43" fillId="0" borderId="70" xfId="0" applyNumberFormat="1" applyFont="1" applyFill="1" applyBorder="1" applyAlignment="1" applyProtection="1">
      <alignment horizontal="center" vertical="center"/>
      <protection hidden="1"/>
    </xf>
    <xf numFmtId="0" fontId="77" fillId="39" borderId="177" xfId="0" applyFont="1" applyFill="1" applyBorder="1" applyAlignment="1">
      <alignment horizontal="right" vertical="center"/>
    </xf>
    <xf numFmtId="0" fontId="83" fillId="39" borderId="177" xfId="0" applyFont="1" applyFill="1" applyBorder="1" applyAlignment="1">
      <alignment horizontal="right" vertical="center"/>
    </xf>
    <xf numFmtId="0" fontId="77" fillId="39" borderId="149" xfId="0" applyFont="1" applyFill="1" applyBorder="1" applyAlignment="1">
      <alignment horizontal="right" vertical="center" shrinkToFit="1"/>
    </xf>
    <xf numFmtId="188" fontId="77" fillId="39" borderId="149" xfId="0" applyNumberFormat="1" applyFont="1" applyFill="1" applyBorder="1" applyAlignment="1">
      <alignment horizontal="right" vertical="center" shrinkToFit="1"/>
    </xf>
    <xf numFmtId="188" fontId="77" fillId="39" borderId="166" xfId="0" applyNumberFormat="1" applyFont="1" applyFill="1" applyBorder="1" applyAlignment="1">
      <alignment horizontal="right" vertical="center" shrinkToFit="1"/>
    </xf>
    <xf numFmtId="0" fontId="77" fillId="39" borderId="178" xfId="0" applyFont="1" applyFill="1" applyBorder="1" applyAlignment="1">
      <alignment horizontal="right" vertical="center"/>
    </xf>
    <xf numFmtId="0" fontId="83" fillId="39" borderId="178" xfId="0" applyFont="1" applyFill="1" applyBorder="1" applyAlignment="1">
      <alignment horizontal="right" vertical="center"/>
    </xf>
    <xf numFmtId="188" fontId="77" fillId="39" borderId="76" xfId="0" applyNumberFormat="1" applyFont="1" applyFill="1" applyBorder="1" applyAlignment="1">
      <alignment horizontal="right" vertical="center" shrinkToFit="1"/>
    </xf>
    <xf numFmtId="0" fontId="77" fillId="39" borderId="76" xfId="0" applyFont="1" applyFill="1" applyBorder="1" applyAlignment="1">
      <alignment horizontal="right" vertical="center" shrinkToFit="1"/>
    </xf>
    <xf numFmtId="0" fontId="74" fillId="39" borderId="181" xfId="0" applyFont="1" applyFill="1" applyBorder="1" applyAlignment="1">
      <alignment vertical="center" shrinkToFit="1"/>
    </xf>
    <xf numFmtId="188" fontId="77" fillId="39" borderId="167" xfId="0" applyNumberFormat="1" applyFont="1" applyFill="1" applyBorder="1" applyAlignment="1">
      <alignment horizontal="right" vertical="center" shrinkToFit="1"/>
    </xf>
    <xf numFmtId="178" fontId="77" fillId="39" borderId="177" xfId="0" applyNumberFormat="1" applyFont="1" applyFill="1" applyBorder="1" applyAlignment="1">
      <alignment horizontal="right" vertical="center"/>
    </xf>
    <xf numFmtId="178" fontId="83" fillId="39" borderId="177" xfId="0" applyNumberFormat="1" applyFont="1" applyFill="1" applyBorder="1" applyAlignment="1">
      <alignment horizontal="right" vertical="center"/>
    </xf>
    <xf numFmtId="178" fontId="66" fillId="39" borderId="141" xfId="0" applyNumberFormat="1" applyFont="1" applyFill="1" applyBorder="1" applyAlignment="1">
      <alignment horizontal="right" vertical="center"/>
    </xf>
    <xf numFmtId="178" fontId="77" fillId="39" borderId="178" xfId="0" applyNumberFormat="1" applyFont="1" applyFill="1" applyBorder="1" applyAlignment="1">
      <alignment horizontal="right" vertical="center"/>
    </xf>
    <xf numFmtId="178" fontId="83" fillId="39" borderId="178" xfId="0" applyNumberFormat="1" applyFont="1" applyFill="1" applyBorder="1" applyAlignment="1">
      <alignment horizontal="right" vertical="center"/>
    </xf>
    <xf numFmtId="0" fontId="77" fillId="39" borderId="166" xfId="0" applyFont="1" applyFill="1" applyBorder="1" applyAlignment="1">
      <alignment horizontal="right" vertical="center" shrinkToFit="1"/>
    </xf>
    <xf numFmtId="0" fontId="77" fillId="39" borderId="167" xfId="0" applyFont="1" applyFill="1" applyBorder="1" applyAlignment="1">
      <alignment horizontal="right" vertical="center" shrinkToFit="1"/>
    </xf>
    <xf numFmtId="0" fontId="35" fillId="0" borderId="0" xfId="0" applyFont="1" applyAlignment="1">
      <alignment horizontal="left" vertical="center"/>
    </xf>
    <xf numFmtId="194" fontId="54" fillId="32" borderId="0" xfId="0" applyNumberFormat="1" applyFont="1" applyFill="1"/>
    <xf numFmtId="179" fontId="43" fillId="41" borderId="55" xfId="0" applyNumberFormat="1" applyFont="1" applyFill="1" applyBorder="1" applyAlignment="1" applyProtection="1">
      <alignment horizontal="center" vertical="center"/>
      <protection locked="0"/>
    </xf>
    <xf numFmtId="0" fontId="50" fillId="41" borderId="24" xfId="0" applyFont="1" applyFill="1" applyBorder="1" applyAlignment="1">
      <alignment horizontal="center" vertical="center"/>
    </xf>
    <xf numFmtId="179" fontId="43" fillId="41" borderId="43" xfId="0" applyNumberFormat="1" applyFont="1" applyFill="1" applyBorder="1" applyAlignment="1" applyProtection="1">
      <alignment horizontal="center" vertical="center"/>
      <protection locked="0"/>
    </xf>
    <xf numFmtId="182" fontId="43" fillId="41" borderId="13" xfId="0" applyNumberFormat="1" applyFont="1" applyFill="1" applyBorder="1" applyAlignment="1" applyProtection="1">
      <alignment vertical="center"/>
      <protection hidden="1"/>
    </xf>
    <xf numFmtId="182" fontId="43" fillId="41" borderId="55" xfId="0" applyNumberFormat="1" applyFont="1" applyFill="1" applyBorder="1" applyAlignment="1" applyProtection="1">
      <alignment vertical="center"/>
      <protection hidden="1"/>
    </xf>
    <xf numFmtId="182" fontId="43" fillId="41" borderId="15" xfId="0" applyNumberFormat="1" applyFont="1" applyFill="1" applyBorder="1" applyAlignment="1" applyProtection="1">
      <alignment vertical="center"/>
      <protection hidden="1"/>
    </xf>
    <xf numFmtId="182" fontId="43" fillId="41" borderId="26" xfId="0" applyNumberFormat="1" applyFont="1" applyFill="1" applyBorder="1" applyAlignment="1" applyProtection="1">
      <alignment vertical="center"/>
      <protection hidden="1"/>
    </xf>
    <xf numFmtId="182" fontId="43" fillId="41" borderId="63" xfId="0" applyNumberFormat="1" applyFont="1" applyFill="1" applyBorder="1" applyAlignment="1" applyProtection="1">
      <alignment vertical="center"/>
      <protection hidden="1"/>
    </xf>
    <xf numFmtId="182" fontId="43" fillId="41" borderId="74" xfId="0" applyNumberFormat="1" applyFont="1" applyFill="1" applyBorder="1" applyAlignment="1" applyProtection="1">
      <alignment vertical="center"/>
      <protection hidden="1"/>
    </xf>
    <xf numFmtId="182" fontId="43" fillId="41" borderId="31" xfId="0" applyNumberFormat="1" applyFont="1" applyFill="1" applyBorder="1" applyAlignment="1" applyProtection="1">
      <alignment vertical="center"/>
      <protection hidden="1"/>
    </xf>
    <xf numFmtId="182" fontId="43" fillId="41" borderId="64" xfId="0" applyNumberFormat="1" applyFont="1" applyFill="1" applyBorder="1" applyAlignment="1" applyProtection="1">
      <alignment vertical="center"/>
      <protection hidden="1"/>
    </xf>
    <xf numFmtId="182" fontId="43" fillId="41" borderId="75" xfId="0" applyNumberFormat="1" applyFont="1" applyFill="1" applyBorder="1" applyAlignment="1" applyProtection="1">
      <alignment vertical="center"/>
      <protection hidden="1"/>
    </xf>
    <xf numFmtId="181" fontId="43" fillId="41" borderId="65" xfId="0" applyNumberFormat="1" applyFont="1" applyFill="1" applyBorder="1" applyAlignment="1" applyProtection="1">
      <alignment vertical="center"/>
      <protection hidden="1"/>
    </xf>
    <xf numFmtId="181" fontId="43" fillId="41" borderId="78" xfId="0" applyNumberFormat="1" applyFont="1" applyFill="1" applyBorder="1" applyAlignment="1" applyProtection="1">
      <alignment vertical="center"/>
      <protection hidden="1"/>
    </xf>
    <xf numFmtId="181" fontId="43" fillId="41" borderId="63" xfId="0" applyNumberFormat="1" applyFont="1" applyFill="1" applyBorder="1" applyAlignment="1" applyProtection="1">
      <alignment vertical="center"/>
      <protection hidden="1"/>
    </xf>
    <xf numFmtId="181" fontId="43" fillId="41" borderId="74" xfId="0" applyNumberFormat="1" applyFont="1" applyFill="1" applyBorder="1" applyAlignment="1" applyProtection="1">
      <alignment vertical="center"/>
      <protection hidden="1"/>
    </xf>
    <xf numFmtId="181" fontId="43" fillId="41" borderId="66" xfId="0" applyNumberFormat="1" applyFont="1" applyFill="1" applyBorder="1" applyAlignment="1" applyProtection="1">
      <alignment vertical="center"/>
      <protection hidden="1"/>
    </xf>
    <xf numFmtId="181" fontId="43" fillId="41" borderId="77" xfId="0" applyNumberFormat="1" applyFont="1" applyFill="1" applyBorder="1" applyAlignment="1" applyProtection="1">
      <alignment vertical="center"/>
      <protection hidden="1"/>
    </xf>
    <xf numFmtId="181" fontId="43" fillId="41" borderId="55" xfId="0" applyNumberFormat="1" applyFont="1" applyFill="1" applyBorder="1" applyAlignment="1" applyProtection="1">
      <alignment vertical="center"/>
      <protection hidden="1"/>
    </xf>
    <xf numFmtId="181" fontId="43" fillId="41" borderId="15" xfId="0" applyNumberFormat="1" applyFont="1" applyFill="1" applyBorder="1" applyAlignment="1" applyProtection="1">
      <alignment vertical="center"/>
      <protection hidden="1"/>
    </xf>
    <xf numFmtId="181" fontId="43" fillId="41" borderId="64" xfId="0" applyNumberFormat="1" applyFont="1" applyFill="1" applyBorder="1" applyAlignment="1" applyProtection="1">
      <alignment vertical="center"/>
      <protection hidden="1"/>
    </xf>
    <xf numFmtId="181" fontId="43" fillId="41" borderId="75" xfId="0" applyNumberFormat="1" applyFont="1" applyFill="1" applyBorder="1" applyAlignment="1" applyProtection="1">
      <alignment vertical="center"/>
      <protection hidden="1"/>
    </xf>
    <xf numFmtId="0" fontId="43" fillId="32" borderId="0" xfId="0" applyFont="1" applyFill="1"/>
    <xf numFmtId="192" fontId="43" fillId="0" borderId="0" xfId="0" applyNumberFormat="1" applyFont="1" applyAlignment="1">
      <alignment horizontal="center"/>
    </xf>
    <xf numFmtId="178" fontId="43" fillId="0" borderId="0" xfId="0" applyNumberFormat="1" applyFont="1" applyFill="1"/>
    <xf numFmtId="40" fontId="43" fillId="32" borderId="0" xfId="0" applyNumberFormat="1" applyFont="1" applyFill="1"/>
    <xf numFmtId="14" fontId="34" fillId="0" borderId="182" xfId="0" applyNumberFormat="1" applyFont="1" applyBorder="1" applyAlignment="1">
      <alignment vertical="center"/>
    </xf>
    <xf numFmtId="192" fontId="34" fillId="0" borderId="182" xfId="0" applyNumberFormat="1" applyFont="1" applyBorder="1" applyAlignment="1">
      <alignment vertical="center"/>
    </xf>
    <xf numFmtId="192" fontId="34" fillId="0" borderId="182" xfId="0" applyNumberFormat="1" applyFont="1" applyFill="1" applyBorder="1" applyAlignment="1">
      <alignment vertical="center"/>
    </xf>
    <xf numFmtId="190" fontId="34" fillId="0" borderId="182" xfId="0" applyNumberFormat="1" applyFont="1" applyBorder="1" applyAlignment="1">
      <alignment vertical="center"/>
    </xf>
    <xf numFmtId="0" fontId="34" fillId="0" borderId="182" xfId="0" applyFont="1" applyBorder="1" applyAlignment="1">
      <alignment vertical="center"/>
    </xf>
    <xf numFmtId="0" fontId="34" fillId="0" borderId="182" xfId="0" applyFont="1" applyFill="1" applyBorder="1" applyAlignment="1">
      <alignment vertical="center"/>
    </xf>
    <xf numFmtId="0" fontId="10" fillId="0" borderId="0" xfId="0" applyFont="1" applyFill="1" applyAlignment="1">
      <alignment horizontal="right"/>
    </xf>
    <xf numFmtId="188" fontId="43" fillId="0" borderId="0" xfId="0" applyNumberFormat="1" applyFont="1" applyFill="1"/>
    <xf numFmtId="2" fontId="43" fillId="0" borderId="0" xfId="0" applyNumberFormat="1" applyFont="1" applyFill="1"/>
    <xf numFmtId="181" fontId="43" fillId="0" borderId="12" xfId="0" applyNumberFormat="1" applyFont="1" applyFill="1" applyBorder="1" applyAlignment="1" applyProtection="1">
      <alignment vertical="center"/>
      <protection hidden="1"/>
    </xf>
    <xf numFmtId="0" fontId="49" fillId="37" borderId="45" xfId="0" applyFont="1" applyFill="1" applyBorder="1" applyAlignment="1">
      <alignment horizontal="center" vertical="center"/>
    </xf>
    <xf numFmtId="0" fontId="80" fillId="0" borderId="162" xfId="0" applyFont="1" applyBorder="1" applyAlignment="1">
      <alignment horizontal="right" vertical="center"/>
    </xf>
    <xf numFmtId="0" fontId="80" fillId="0" borderId="170" xfId="0" applyFont="1" applyBorder="1" applyAlignment="1">
      <alignment horizontal="right" vertical="center"/>
    </xf>
    <xf numFmtId="0" fontId="80" fillId="0" borderId="47" xfId="0" applyFont="1" applyBorder="1" applyAlignment="1">
      <alignment horizontal="right" vertical="center"/>
    </xf>
    <xf numFmtId="0" fontId="80" fillId="0" borderId="52" xfId="0" applyFont="1" applyFill="1" applyBorder="1" applyAlignment="1">
      <alignment horizontal="right" vertical="center"/>
    </xf>
    <xf numFmtId="0" fontId="80" fillId="0" borderId="51" xfId="0" applyFont="1" applyFill="1" applyBorder="1" applyAlignment="1">
      <alignment horizontal="right" vertical="center"/>
    </xf>
    <xf numFmtId="0" fontId="80" fillId="0" borderId="54" xfId="0" applyFont="1" applyFill="1" applyBorder="1" applyAlignment="1">
      <alignment horizontal="right" vertical="center"/>
    </xf>
    <xf numFmtId="0" fontId="80" fillId="0" borderId="162" xfId="0" applyFont="1" applyFill="1" applyBorder="1" applyAlignment="1">
      <alignment horizontal="right" vertical="center"/>
    </xf>
    <xf numFmtId="0" fontId="80" fillId="0" borderId="170" xfId="0" applyFont="1" applyFill="1" applyBorder="1" applyAlignment="1">
      <alignment horizontal="right" vertical="center"/>
    </xf>
    <xf numFmtId="0" fontId="80" fillId="0" borderId="183" xfId="0" applyFont="1" applyBorder="1" applyAlignment="1">
      <alignment horizontal="right" vertical="center"/>
    </xf>
    <xf numFmtId="0" fontId="80" fillId="0" borderId="184" xfId="0" applyFont="1" applyBorder="1" applyAlignment="1">
      <alignment horizontal="right" vertical="center"/>
    </xf>
    <xf numFmtId="0" fontId="80" fillId="0" borderId="185" xfId="0" applyFont="1" applyBorder="1" applyAlignment="1">
      <alignment horizontal="right" vertical="center"/>
    </xf>
    <xf numFmtId="0" fontId="80" fillId="0" borderId="183" xfId="0" applyFont="1" applyFill="1" applyBorder="1" applyAlignment="1">
      <alignment horizontal="right" vertical="center"/>
    </xf>
    <xf numFmtId="0" fontId="80" fillId="0" borderId="184" xfId="0" applyFont="1" applyFill="1" applyBorder="1" applyAlignment="1">
      <alignment horizontal="right" vertical="center"/>
    </xf>
    <xf numFmtId="0" fontId="80" fillId="0" borderId="185" xfId="0" applyFont="1" applyFill="1" applyBorder="1" applyAlignment="1">
      <alignment horizontal="right" vertical="center"/>
    </xf>
    <xf numFmtId="0" fontId="66" fillId="0" borderId="183" xfId="0" applyFont="1" applyFill="1" applyBorder="1" applyAlignment="1">
      <alignment horizontal="right" vertical="center"/>
    </xf>
    <xf numFmtId="0" fontId="66" fillId="0" borderId="183" xfId="0" applyFont="1" applyBorder="1" applyAlignment="1">
      <alignment horizontal="right" vertical="center"/>
    </xf>
    <xf numFmtId="0" fontId="66" fillId="0" borderId="184" xfId="0" applyFont="1" applyBorder="1" applyAlignment="1">
      <alignment horizontal="right" vertical="center"/>
    </xf>
    <xf numFmtId="0" fontId="66" fillId="0" borderId="185" xfId="0" applyFont="1" applyBorder="1" applyAlignment="1">
      <alignment horizontal="right" vertical="center"/>
    </xf>
    <xf numFmtId="0" fontId="66" fillId="0" borderId="184" xfId="0" applyFont="1" applyFill="1" applyBorder="1" applyAlignment="1">
      <alignment horizontal="right" vertical="center"/>
    </xf>
    <xf numFmtId="0" fontId="66" fillId="0" borderId="185" xfId="0" applyFont="1" applyFill="1" applyBorder="1" applyAlignment="1">
      <alignment horizontal="right" vertical="center"/>
    </xf>
    <xf numFmtId="0" fontId="66" fillId="0" borderId="186" xfId="0" applyFont="1" applyBorder="1" applyAlignment="1">
      <alignment vertical="center" shrinkToFit="1"/>
    </xf>
    <xf numFmtId="0" fontId="66" fillId="0" borderId="183" xfId="0" applyFont="1" applyBorder="1" applyAlignment="1">
      <alignment vertical="center" shrinkToFit="1"/>
    </xf>
    <xf numFmtId="0" fontId="66" fillId="0" borderId="187" xfId="0" applyFont="1" applyBorder="1" applyAlignment="1">
      <alignment vertical="center" shrinkToFit="1"/>
    </xf>
    <xf numFmtId="0" fontId="66" fillId="0" borderId="188" xfId="0" applyFont="1" applyBorder="1" applyAlignment="1">
      <alignment vertical="center" shrinkToFit="1"/>
    </xf>
    <xf numFmtId="0" fontId="66" fillId="0" borderId="189" xfId="0" applyFont="1" applyBorder="1" applyAlignment="1">
      <alignment vertical="center" shrinkToFit="1"/>
    </xf>
    <xf numFmtId="0" fontId="66" fillId="0" borderId="184" xfId="0" applyFont="1" applyBorder="1" applyAlignment="1">
      <alignment vertical="center" shrinkToFit="1"/>
    </xf>
    <xf numFmtId="0" fontId="66" fillId="0" borderId="190" xfId="0" applyFont="1" applyBorder="1" applyAlignment="1">
      <alignment vertical="center" shrinkToFit="1"/>
    </xf>
    <xf numFmtId="0" fontId="66" fillId="0" borderId="191" xfId="0" applyFont="1" applyBorder="1" applyAlignment="1">
      <alignment vertical="center" shrinkToFit="1"/>
    </xf>
    <xf numFmtId="0" fontId="66" fillId="0" borderId="192" xfId="0" applyFont="1" applyBorder="1" applyAlignment="1">
      <alignment vertical="center" shrinkToFit="1"/>
    </xf>
    <xf numFmtId="0" fontId="66" fillId="0" borderId="185" xfId="0" applyFont="1" applyBorder="1" applyAlignment="1">
      <alignment vertical="center" shrinkToFit="1"/>
    </xf>
    <xf numFmtId="0" fontId="66" fillId="0" borderId="193" xfId="0" applyFont="1" applyBorder="1" applyAlignment="1">
      <alignment vertical="center" shrinkToFit="1"/>
    </xf>
    <xf numFmtId="0" fontId="66" fillId="0" borderId="194" xfId="0" applyFont="1" applyBorder="1" applyAlignment="1">
      <alignment vertical="center" shrinkToFit="1"/>
    </xf>
    <xf numFmtId="188" fontId="74" fillId="39" borderId="149" xfId="0" applyNumberFormat="1" applyFont="1" applyFill="1" applyBorder="1" applyAlignment="1">
      <alignment horizontal="right" vertical="center" shrinkToFit="1"/>
    </xf>
    <xf numFmtId="188" fontId="74" fillId="39" borderId="166" xfId="0" applyNumberFormat="1" applyFont="1" applyFill="1" applyBorder="1" applyAlignment="1">
      <alignment horizontal="right" vertical="center" shrinkToFit="1"/>
    </xf>
    <xf numFmtId="188" fontId="74" fillId="39" borderId="167" xfId="0" applyNumberFormat="1" applyFont="1" applyFill="1" applyBorder="1" applyAlignment="1">
      <alignment horizontal="right" vertical="center" shrinkToFit="1"/>
    </xf>
    <xf numFmtId="2" fontId="74" fillId="39" borderId="166" xfId="0" applyNumberFormat="1" applyFont="1" applyFill="1" applyBorder="1" applyAlignment="1">
      <alignment horizontal="right" vertical="center" shrinkToFit="1"/>
    </xf>
    <xf numFmtId="2" fontId="74" fillId="39" borderId="149" xfId="0" applyNumberFormat="1" applyFont="1" applyFill="1" applyBorder="1" applyAlignment="1">
      <alignment horizontal="right" vertical="center" shrinkToFit="1"/>
    </xf>
    <xf numFmtId="1" fontId="66" fillId="39" borderId="138" xfId="0" applyNumberFormat="1" applyFont="1" applyFill="1" applyBorder="1" applyAlignment="1">
      <alignment horizontal="right" vertical="center"/>
    </xf>
    <xf numFmtId="2" fontId="74" fillId="39" borderId="167" xfId="0" applyNumberFormat="1" applyFont="1" applyFill="1" applyBorder="1" applyAlignment="1">
      <alignment horizontal="right" vertical="center" shrinkToFit="1"/>
    </xf>
    <xf numFmtId="2" fontId="74" fillId="39" borderId="177" xfId="0" applyNumberFormat="1" applyFont="1" applyFill="1" applyBorder="1" applyAlignment="1">
      <alignment horizontal="right" vertical="center"/>
    </xf>
    <xf numFmtId="1" fontId="83" fillId="39" borderId="177" xfId="0" applyNumberFormat="1" applyFont="1" applyFill="1" applyBorder="1" applyAlignment="1">
      <alignment horizontal="right" vertical="center"/>
    </xf>
    <xf numFmtId="1" fontId="74" fillId="39" borderId="178" xfId="0" applyNumberFormat="1" applyFont="1" applyFill="1" applyBorder="1" applyAlignment="1">
      <alignment horizontal="right" vertical="center"/>
    </xf>
    <xf numFmtId="1" fontId="74" fillId="39" borderId="177" xfId="0" applyNumberFormat="1" applyFont="1" applyFill="1" applyBorder="1" applyAlignment="1">
      <alignment horizontal="right" vertical="center"/>
    </xf>
    <xf numFmtId="2" fontId="74" fillId="39" borderId="138" xfId="0" applyNumberFormat="1" applyFont="1" applyFill="1" applyBorder="1" applyAlignment="1">
      <alignment horizontal="right" vertical="center" shrinkToFit="1"/>
    </xf>
    <xf numFmtId="2" fontId="74" fillId="39" borderId="42" xfId="0" applyNumberFormat="1" applyFont="1" applyFill="1" applyBorder="1" applyAlignment="1">
      <alignment horizontal="right" vertical="center" shrinkToFit="1"/>
    </xf>
    <xf numFmtId="0" fontId="84" fillId="0" borderId="162" xfId="0" applyFont="1" applyBorder="1" applyAlignment="1">
      <alignment vertical="center" shrinkToFit="1"/>
    </xf>
    <xf numFmtId="0" fontId="84" fillId="0" borderId="165" xfId="0" applyFont="1" applyBorder="1" applyAlignment="1">
      <alignment vertical="center" shrinkToFit="1"/>
    </xf>
    <xf numFmtId="0" fontId="38" fillId="0" borderId="0" xfId="0" applyFont="1" applyAlignment="1">
      <alignment horizontal="center" vertical="top"/>
    </xf>
    <xf numFmtId="0" fontId="40" fillId="0" borderId="83" xfId="0" applyFont="1" applyFill="1" applyBorder="1" applyAlignment="1">
      <alignment horizontal="center" vertical="center" wrapText="1"/>
    </xf>
    <xf numFmtId="0" fontId="40" fillId="0" borderId="84" xfId="0" applyFont="1" applyFill="1" applyBorder="1" applyAlignment="1">
      <alignment horizontal="center" vertical="center" wrapText="1"/>
    </xf>
    <xf numFmtId="0" fontId="40" fillId="0" borderId="85" xfId="0" applyFont="1" applyFill="1" applyBorder="1" applyAlignment="1">
      <alignment horizontal="center" vertical="center" wrapText="1"/>
    </xf>
    <xf numFmtId="0" fontId="40" fillId="0" borderId="86" xfId="0" applyFont="1" applyFill="1" applyBorder="1" applyAlignment="1">
      <alignment horizontal="center" vertical="center" wrapText="1"/>
    </xf>
    <xf numFmtId="0" fontId="40" fillId="0" borderId="0" xfId="0" applyFont="1" applyFill="1" applyBorder="1" applyAlignment="1">
      <alignment horizontal="center" vertical="center" wrapText="1"/>
    </xf>
    <xf numFmtId="0" fontId="40" fillId="0" borderId="87" xfId="0" applyFont="1" applyFill="1" applyBorder="1" applyAlignment="1">
      <alignment horizontal="center" vertical="center" wrapText="1"/>
    </xf>
    <xf numFmtId="0" fontId="40" fillId="0" borderId="88" xfId="0" applyFont="1" applyFill="1" applyBorder="1" applyAlignment="1">
      <alignment horizontal="center" vertical="center" wrapText="1"/>
    </xf>
    <xf numFmtId="0" fontId="40" fillId="0" borderId="89" xfId="0" applyFont="1" applyFill="1" applyBorder="1" applyAlignment="1">
      <alignment horizontal="center" vertical="center" wrapText="1"/>
    </xf>
    <xf numFmtId="0" fontId="40" fillId="0" borderId="90" xfId="0" applyFont="1" applyFill="1" applyBorder="1" applyAlignment="1">
      <alignment horizontal="center" vertical="center" wrapText="1"/>
    </xf>
    <xf numFmtId="0" fontId="69" fillId="0" borderId="132" xfId="0" applyFont="1" applyBorder="1" applyAlignment="1">
      <alignment horizontal="left" vertical="center" wrapText="1"/>
    </xf>
    <xf numFmtId="0" fontId="69" fillId="0" borderId="34" xfId="0" applyFont="1" applyBorder="1" applyAlignment="1">
      <alignment horizontal="left" vertical="center"/>
    </xf>
    <xf numFmtId="0" fontId="69" fillId="0" borderId="32" xfId="0" applyFont="1" applyBorder="1" applyAlignment="1">
      <alignment horizontal="left" vertical="center"/>
    </xf>
    <xf numFmtId="0" fontId="69" fillId="0" borderId="132" xfId="0" applyFont="1" applyBorder="1" applyAlignment="1">
      <alignment horizontal="center" vertical="center"/>
    </xf>
    <xf numFmtId="0" fontId="69" fillId="0" borderId="34" xfId="0" applyFont="1" applyBorder="1" applyAlignment="1">
      <alignment horizontal="center" vertical="center"/>
    </xf>
    <xf numFmtId="0" fontId="69" fillId="0" borderId="32" xfId="0" applyFont="1" applyBorder="1" applyAlignment="1">
      <alignment horizontal="center" vertical="center"/>
    </xf>
    <xf numFmtId="0" fontId="69" fillId="38" borderId="129" xfId="0" applyFont="1" applyFill="1" applyBorder="1" applyAlignment="1">
      <alignment horizontal="center" vertical="center"/>
    </xf>
    <xf numFmtId="0" fontId="69" fillId="38" borderId="107" xfId="0" applyFont="1" applyFill="1" applyBorder="1" applyAlignment="1">
      <alignment horizontal="center" vertical="center"/>
    </xf>
    <xf numFmtId="0" fontId="69" fillId="38" borderId="133" xfId="0" applyFont="1" applyFill="1" applyBorder="1" applyAlignment="1">
      <alignment horizontal="center" vertical="center"/>
    </xf>
    <xf numFmtId="0" fontId="69" fillId="38" borderId="130" xfId="0" applyFont="1" applyFill="1" applyBorder="1" applyAlignment="1">
      <alignment horizontal="center" vertical="center"/>
    </xf>
    <xf numFmtId="0" fontId="69" fillId="38" borderId="108" xfId="0" applyFont="1" applyFill="1" applyBorder="1" applyAlignment="1">
      <alignment horizontal="center" vertical="center"/>
    </xf>
    <xf numFmtId="0" fontId="69" fillId="38" borderId="134" xfId="0" applyFont="1" applyFill="1" applyBorder="1" applyAlignment="1">
      <alignment horizontal="center" vertical="center"/>
    </xf>
    <xf numFmtId="0" fontId="69" fillId="38" borderId="131" xfId="0" applyFont="1" applyFill="1" applyBorder="1" applyAlignment="1">
      <alignment horizontal="center" vertical="center"/>
    </xf>
    <xf numFmtId="0" fontId="69" fillId="38" borderId="109" xfId="0" applyFont="1" applyFill="1" applyBorder="1" applyAlignment="1">
      <alignment horizontal="center" vertical="center"/>
    </xf>
    <xf numFmtId="0" fontId="69" fillId="38" borderId="135" xfId="0" applyFont="1" applyFill="1" applyBorder="1" applyAlignment="1">
      <alignment horizontal="center" vertical="center"/>
    </xf>
    <xf numFmtId="0" fontId="69" fillId="38" borderId="132" xfId="0" applyFont="1" applyFill="1" applyBorder="1" applyAlignment="1">
      <alignment horizontal="center" vertical="center"/>
    </xf>
    <xf numFmtId="0" fontId="69" fillId="38" borderId="34" xfId="0" applyFont="1" applyFill="1" applyBorder="1" applyAlignment="1">
      <alignment horizontal="center" vertical="center"/>
    </xf>
    <xf numFmtId="0" fontId="69" fillId="38" borderId="32" xfId="0" applyFont="1" applyFill="1" applyBorder="1" applyAlignment="1">
      <alignment horizontal="center" vertical="center"/>
    </xf>
    <xf numFmtId="0" fontId="69" fillId="38" borderId="29" xfId="0" applyFont="1" applyFill="1" applyBorder="1" applyAlignment="1">
      <alignment horizontal="center" vertical="center"/>
    </xf>
    <xf numFmtId="0" fontId="69" fillId="38" borderId="124" xfId="0" applyFont="1" applyFill="1" applyBorder="1" applyAlignment="1">
      <alignment horizontal="center" vertical="center"/>
    </xf>
    <xf numFmtId="0" fontId="69" fillId="0" borderId="29" xfId="0" applyFont="1" applyBorder="1" applyAlignment="1">
      <alignment horizontal="center" vertical="center"/>
    </xf>
    <xf numFmtId="0" fontId="69" fillId="0" borderId="124" xfId="0" applyFont="1" applyBorder="1" applyAlignment="1">
      <alignment horizontal="center" vertical="center"/>
    </xf>
    <xf numFmtId="0" fontId="69" fillId="38" borderId="102" xfId="0" applyFont="1" applyFill="1" applyBorder="1" applyAlignment="1">
      <alignment horizontal="center" vertical="center"/>
    </xf>
    <xf numFmtId="0" fontId="69" fillId="38" borderId="121" xfId="0" applyFont="1" applyFill="1" applyBorder="1" applyAlignment="1">
      <alignment horizontal="center" vertical="center"/>
    </xf>
    <xf numFmtId="0" fontId="69" fillId="38" borderId="92" xfId="0" applyFont="1" applyFill="1" applyBorder="1" applyAlignment="1">
      <alignment horizontal="center" vertical="center"/>
    </xf>
    <xf numFmtId="0" fontId="69" fillId="38" borderId="122" xfId="0" applyFont="1" applyFill="1" applyBorder="1" applyAlignment="1">
      <alignment horizontal="center" vertical="center"/>
    </xf>
    <xf numFmtId="0" fontId="69" fillId="38" borderId="93" xfId="0" applyFont="1" applyFill="1" applyBorder="1" applyAlignment="1">
      <alignment horizontal="center" vertical="center"/>
    </xf>
    <xf numFmtId="0" fontId="69" fillId="38" borderId="123" xfId="0" applyFont="1" applyFill="1" applyBorder="1" applyAlignment="1">
      <alignment horizontal="center" vertical="center"/>
    </xf>
    <xf numFmtId="0" fontId="69" fillId="0" borderId="29" xfId="0" applyFont="1" applyBorder="1" applyAlignment="1">
      <alignment horizontal="left" vertical="center" wrapText="1"/>
    </xf>
    <xf numFmtId="0" fontId="69" fillId="0" borderId="124" xfId="0" applyFont="1" applyBorder="1" applyAlignment="1">
      <alignment horizontal="left" vertical="center"/>
    </xf>
    <xf numFmtId="0" fontId="68" fillId="0" borderId="48" xfId="0" applyFont="1" applyBorder="1" applyAlignment="1">
      <alignment horizontal="center" vertical="center"/>
    </xf>
    <xf numFmtId="0" fontId="68" fillId="0" borderId="66" xfId="0" applyFont="1" applyBorder="1" applyAlignment="1">
      <alignment horizontal="center" vertical="center"/>
    </xf>
    <xf numFmtId="0" fontId="68" fillId="0" borderId="54" xfId="0" applyFont="1" applyBorder="1" applyAlignment="1">
      <alignment horizontal="center" vertical="center"/>
    </xf>
    <xf numFmtId="0" fontId="71" fillId="0" borderId="29" xfId="0" applyFont="1" applyBorder="1" applyAlignment="1">
      <alignment horizontal="center" vertical="center" wrapText="1"/>
    </xf>
    <xf numFmtId="0" fontId="71" fillId="0" borderId="32" xfId="0" applyFont="1" applyBorder="1" applyAlignment="1">
      <alignment horizontal="center" vertical="center" wrapText="1"/>
    </xf>
    <xf numFmtId="0" fontId="68" fillId="0" borderId="29" xfId="0" applyFont="1" applyBorder="1" applyAlignment="1">
      <alignment horizontal="center" vertical="center" wrapText="1"/>
    </xf>
    <xf numFmtId="0" fontId="68" fillId="0" borderId="32" xfId="0" applyFont="1" applyBorder="1" applyAlignment="1">
      <alignment horizontal="center" vertical="center" wrapText="1"/>
    </xf>
    <xf numFmtId="0" fontId="72" fillId="0" borderId="0" xfId="0" applyFont="1" applyAlignment="1">
      <alignment horizontal="left" vertical="top" wrapText="1"/>
    </xf>
    <xf numFmtId="0" fontId="72" fillId="0" borderId="0" xfId="0" applyFont="1" applyAlignment="1">
      <alignment horizontal="left" vertical="top"/>
    </xf>
    <xf numFmtId="0" fontId="0" fillId="0" borderId="0" xfId="0" applyAlignment="1">
      <alignment horizontal="left"/>
    </xf>
    <xf numFmtId="0" fontId="72" fillId="0" borderId="60" xfId="0" applyFont="1" applyBorder="1" applyAlignment="1">
      <alignment horizontal="left"/>
    </xf>
    <xf numFmtId="0" fontId="72" fillId="0" borderId="0" xfId="0" applyFont="1" applyAlignment="1">
      <alignment horizontal="left"/>
    </xf>
    <xf numFmtId="0" fontId="43" fillId="0" borderId="0" xfId="0" applyFont="1" applyAlignment="1">
      <alignment horizontal="center" vertical="center"/>
    </xf>
    <xf numFmtId="0" fontId="43" fillId="0" borderId="49" xfId="0" applyFont="1" applyBorder="1" applyAlignment="1">
      <alignment horizontal="center" vertical="center"/>
    </xf>
    <xf numFmtId="177" fontId="43" fillId="0" borderId="0" xfId="0" applyNumberFormat="1" applyFont="1" applyBorder="1" applyAlignment="1">
      <alignment horizontal="right" vertical="center"/>
    </xf>
    <xf numFmtId="0" fontId="47" fillId="0" borderId="0" xfId="0" applyFont="1" applyBorder="1" applyAlignment="1">
      <alignment horizontal="left" vertical="center"/>
    </xf>
    <xf numFmtId="177" fontId="43" fillId="0" borderId="0" xfId="0" applyNumberFormat="1" applyFont="1" applyBorder="1" applyAlignment="1">
      <alignment horizontal="center" vertical="center"/>
    </xf>
    <xf numFmtId="0" fontId="43" fillId="37" borderId="73" xfId="0" applyFont="1" applyFill="1" applyBorder="1" applyAlignment="1">
      <alignment horizontal="center" vertical="center" wrapText="1"/>
    </xf>
    <xf numFmtId="0" fontId="43" fillId="37" borderId="44" xfId="0" applyFont="1" applyFill="1" applyBorder="1" applyAlignment="1">
      <alignment horizontal="center" vertical="center" wrapText="1"/>
    </xf>
    <xf numFmtId="0" fontId="49" fillId="0" borderId="57" xfId="0" applyFont="1" applyFill="1" applyBorder="1" applyAlignment="1">
      <alignment horizontal="center" vertical="center"/>
    </xf>
    <xf numFmtId="0" fontId="49" fillId="0" borderId="58" xfId="0" applyFont="1" applyFill="1" applyBorder="1" applyAlignment="1">
      <alignment horizontal="center" vertical="center"/>
    </xf>
    <xf numFmtId="182" fontId="43" fillId="0" borderId="64" xfId="0" applyNumberFormat="1" applyFont="1" applyBorder="1" applyAlignment="1" applyProtection="1">
      <alignment horizontal="center" vertical="center"/>
      <protection hidden="1"/>
    </xf>
    <xf numFmtId="182" fontId="43" fillId="0" borderId="75" xfId="0" applyNumberFormat="1" applyFont="1" applyBorder="1" applyAlignment="1" applyProtection="1">
      <alignment horizontal="center" vertical="center"/>
      <protection hidden="1"/>
    </xf>
    <xf numFmtId="179" fontId="47" fillId="26" borderId="0" xfId="0" applyNumberFormat="1" applyFont="1" applyFill="1" applyAlignment="1" applyProtection="1">
      <alignment horizontal="left" vertical="center"/>
      <protection hidden="1"/>
    </xf>
    <xf numFmtId="0" fontId="47" fillId="0" borderId="0" xfId="0" applyFont="1" applyAlignment="1">
      <alignment horizontal="left" vertical="center"/>
    </xf>
    <xf numFmtId="0" fontId="43" fillId="29" borderId="73" xfId="0" applyFont="1" applyFill="1" applyBorder="1" applyAlignment="1">
      <alignment horizontal="center" vertical="center" wrapText="1"/>
    </xf>
    <xf numFmtId="0" fontId="43" fillId="29" borderId="44" xfId="0" applyFont="1" applyFill="1" applyBorder="1" applyAlignment="1">
      <alignment horizontal="center" vertical="center" wrapText="1"/>
    </xf>
    <xf numFmtId="0" fontId="43" fillId="0" borderId="11" xfId="0" applyFont="1" applyBorder="1" applyAlignment="1">
      <alignment horizontal="center" vertical="center"/>
    </xf>
    <xf numFmtId="0" fontId="68" fillId="0" borderId="137" xfId="0" applyFont="1" applyFill="1" applyBorder="1" applyAlignment="1">
      <alignment horizontal="center" vertical="center" wrapText="1"/>
    </xf>
    <xf numFmtId="0" fontId="68" fillId="0" borderId="15" xfId="0" applyFont="1" applyFill="1" applyBorder="1" applyAlignment="1">
      <alignment horizontal="center" vertical="center" wrapText="1"/>
    </xf>
    <xf numFmtId="0" fontId="68" fillId="0" borderId="136" xfId="0" applyFont="1" applyFill="1" applyBorder="1" applyAlignment="1">
      <alignment horizontal="center" vertical="center" wrapText="1"/>
    </xf>
    <xf numFmtId="0" fontId="68" fillId="0" borderId="14" xfId="0" applyFont="1" applyFill="1" applyBorder="1" applyAlignment="1">
      <alignment horizontal="center" vertical="center" wrapText="1"/>
    </xf>
    <xf numFmtId="0" fontId="68" fillId="0" borderId="72" xfId="0" applyFont="1" applyFill="1" applyBorder="1" applyAlignment="1">
      <alignment horizontal="center" vertical="center" wrapText="1"/>
    </xf>
    <xf numFmtId="0" fontId="68" fillId="0" borderId="62" xfId="0" applyFont="1" applyFill="1" applyBorder="1" applyAlignment="1">
      <alignment horizontal="center" vertical="center" wrapText="1"/>
    </xf>
    <xf numFmtId="0" fontId="10" fillId="35" borderId="0" xfId="0" applyFont="1" applyFill="1" applyAlignment="1">
      <alignment horizontal="center" vertical="center"/>
    </xf>
    <xf numFmtId="179" fontId="47" fillId="27" borderId="0" xfId="0" applyNumberFormat="1" applyFont="1" applyFill="1" applyAlignment="1" applyProtection="1">
      <alignment horizontal="left" vertical="center"/>
      <protection hidden="1"/>
    </xf>
    <xf numFmtId="0" fontId="82" fillId="30" borderId="73" xfId="0" applyFont="1" applyFill="1" applyBorder="1" applyAlignment="1">
      <alignment horizontal="center" vertical="center" wrapText="1"/>
    </xf>
    <xf numFmtId="0" fontId="43" fillId="30" borderId="44" xfId="0" applyFont="1" applyFill="1" applyBorder="1" applyAlignment="1">
      <alignment horizontal="center" vertical="center" wrapText="1"/>
    </xf>
    <xf numFmtId="0" fontId="47" fillId="0" borderId="0" xfId="0" applyFont="1" applyAlignment="1">
      <alignment horizontal="left" vertical="center" shrinkToFit="1"/>
    </xf>
    <xf numFmtId="0" fontId="43" fillId="0" borderId="11" xfId="0" applyFont="1" applyFill="1" applyBorder="1" applyAlignment="1">
      <alignment horizontal="center" vertical="center" shrinkToFit="1"/>
    </xf>
    <xf numFmtId="179" fontId="47" fillId="26" borderId="0" xfId="0" applyNumberFormat="1" applyFont="1" applyFill="1" applyAlignment="1" applyProtection="1">
      <alignment horizontal="center" vertical="center"/>
      <protection hidden="1"/>
    </xf>
    <xf numFmtId="0" fontId="10" fillId="0" borderId="73" xfId="0" applyFont="1" applyFill="1" applyBorder="1" applyAlignment="1">
      <alignment horizontal="center" vertical="center" wrapText="1"/>
    </xf>
    <xf numFmtId="0" fontId="43" fillId="0" borderId="34" xfId="0" applyFont="1" applyFill="1" applyBorder="1" applyAlignment="1">
      <alignment horizontal="center" vertical="center" wrapText="1"/>
    </xf>
    <xf numFmtId="0" fontId="49" fillId="41" borderId="57" xfId="0" applyFont="1" applyFill="1" applyBorder="1" applyAlignment="1">
      <alignment horizontal="center" vertical="center"/>
    </xf>
    <xf numFmtId="0" fontId="49" fillId="41" borderId="58" xfId="0" applyFont="1" applyFill="1" applyBorder="1" applyAlignment="1">
      <alignment horizontal="center" vertical="center"/>
    </xf>
    <xf numFmtId="182" fontId="43" fillId="41" borderId="66" xfId="0" applyNumberFormat="1" applyFont="1" applyFill="1" applyBorder="1" applyAlignment="1" applyProtection="1">
      <alignment horizontal="center" vertical="center"/>
      <protection hidden="1"/>
    </xf>
    <xf numFmtId="182" fontId="43" fillId="41" borderId="77" xfId="0" applyNumberFormat="1" applyFont="1" applyFill="1" applyBorder="1" applyAlignment="1" applyProtection="1">
      <alignment horizontal="center" vertical="center"/>
      <protection hidden="1"/>
    </xf>
    <xf numFmtId="182" fontId="43" fillId="0" borderId="31" xfId="0" applyNumberFormat="1" applyFont="1" applyBorder="1" applyAlignment="1" applyProtection="1">
      <alignment horizontal="center" vertical="center"/>
      <protection hidden="1"/>
    </xf>
    <xf numFmtId="0" fontId="73" fillId="0" borderId="11" xfId="0" applyFont="1" applyBorder="1" applyAlignment="1">
      <alignment horizontal="left" vertical="center"/>
    </xf>
    <xf numFmtId="0" fontId="73" fillId="0" borderId="72" xfId="0" applyFont="1" applyBorder="1" applyAlignment="1">
      <alignment horizontal="center" vertical="center"/>
    </xf>
    <xf numFmtId="0" fontId="73" fillId="0" borderId="61" xfId="0" applyFont="1" applyBorder="1" applyAlignment="1">
      <alignment horizontal="center" vertical="center"/>
    </xf>
    <xf numFmtId="0" fontId="73" fillId="0" borderId="142" xfId="0" applyFont="1" applyBorder="1" applyAlignment="1">
      <alignment horizontal="center" vertical="center"/>
    </xf>
    <xf numFmtId="0" fontId="66" fillId="0" borderId="72" xfId="0" applyFont="1" applyFill="1" applyBorder="1" applyAlignment="1">
      <alignment horizontal="center" vertical="center" wrapText="1"/>
    </xf>
    <xf numFmtId="0" fontId="66" fillId="0" borderId="61" xfId="0" applyFont="1" applyFill="1" applyBorder="1" applyAlignment="1">
      <alignment horizontal="center" vertical="center" wrapText="1"/>
    </xf>
    <xf numFmtId="0" fontId="66" fillId="0" borderId="62" xfId="0" applyFont="1" applyFill="1" applyBorder="1" applyAlignment="1">
      <alignment horizontal="center" vertical="center" wrapText="1"/>
    </xf>
    <xf numFmtId="0" fontId="73" fillId="0" borderId="14" xfId="0" applyFont="1" applyBorder="1" applyAlignment="1">
      <alignment horizontal="center" vertical="center"/>
    </xf>
    <xf numFmtId="0" fontId="73" fillId="0" borderId="55" xfId="0" applyFont="1" applyBorder="1" applyAlignment="1">
      <alignment horizontal="center" vertical="center"/>
    </xf>
    <xf numFmtId="0" fontId="73" fillId="0" borderId="136" xfId="0" applyFont="1" applyBorder="1" applyAlignment="1">
      <alignment horizontal="center" vertical="center"/>
    </xf>
    <xf numFmtId="0" fontId="73" fillId="0" borderId="137" xfId="0" applyFont="1" applyBorder="1" applyAlignment="1">
      <alignment horizontal="center" vertical="center"/>
    </xf>
    <xf numFmtId="0" fontId="73" fillId="0" borderId="46" xfId="0" applyFont="1" applyBorder="1" applyAlignment="1">
      <alignment horizontal="center" vertical="center" wrapText="1"/>
    </xf>
    <xf numFmtId="0" fontId="73" fillId="0" borderId="76" xfId="0" applyFont="1" applyBorder="1" applyAlignment="1">
      <alignment horizontal="center" vertical="center" wrapText="1"/>
    </xf>
    <xf numFmtId="0" fontId="73" fillId="0" borderId="15" xfId="0" applyFont="1" applyBorder="1" applyAlignment="1">
      <alignment horizontal="center" vertical="center"/>
    </xf>
    <xf numFmtId="0" fontId="73" fillId="0" borderId="140" xfId="0" applyFont="1" applyBorder="1" applyAlignment="1">
      <alignment horizontal="center" vertical="center" wrapText="1"/>
    </xf>
    <xf numFmtId="0" fontId="73" fillId="0" borderId="145" xfId="0" applyFont="1" applyBorder="1" applyAlignment="1">
      <alignment horizontal="center" vertical="center" wrapText="1"/>
    </xf>
    <xf numFmtId="0" fontId="73" fillId="0" borderId="141" xfId="0" applyFont="1" applyBorder="1" applyAlignment="1">
      <alignment horizontal="center" vertical="center" wrapText="1"/>
    </xf>
    <xf numFmtId="0" fontId="73" fillId="0" borderId="146" xfId="0" applyFont="1" applyBorder="1" applyAlignment="1">
      <alignment horizontal="center" vertical="center" wrapText="1"/>
    </xf>
    <xf numFmtId="0" fontId="73" fillId="0" borderId="54" xfId="0" applyFont="1" applyBorder="1" applyAlignment="1">
      <alignment horizontal="center" vertical="center" wrapText="1"/>
    </xf>
    <xf numFmtId="0" fontId="73" fillId="0" borderId="79" xfId="0" applyFont="1" applyBorder="1" applyAlignment="1">
      <alignment horizontal="center" vertical="center" wrapText="1"/>
    </xf>
    <xf numFmtId="0" fontId="52" fillId="28" borderId="12" xfId="0" applyFont="1" applyFill="1" applyBorder="1" applyAlignment="1">
      <alignment horizontal="center" vertical="center"/>
    </xf>
    <xf numFmtId="0" fontId="52" fillId="28" borderId="49" xfId="0" applyFont="1" applyFill="1" applyBorder="1" applyAlignment="1">
      <alignment horizontal="center" vertical="center"/>
    </xf>
    <xf numFmtId="0" fontId="52" fillId="28" borderId="36" xfId="0" applyFont="1" applyFill="1" applyBorder="1" applyAlignment="1">
      <alignment horizontal="center" vertical="center"/>
    </xf>
    <xf numFmtId="0" fontId="52" fillId="29" borderId="56" xfId="0" applyFont="1" applyFill="1" applyBorder="1" applyAlignment="1">
      <alignment horizontal="center" vertical="center"/>
    </xf>
    <xf numFmtId="0" fontId="52" fillId="29" borderId="57" xfId="0" applyFont="1" applyFill="1" applyBorder="1" applyAlignment="1">
      <alignment horizontal="center" vertical="center"/>
    </xf>
    <xf numFmtId="0" fontId="52" fillId="29" borderId="58" xfId="0" applyFont="1" applyFill="1" applyBorder="1" applyAlignment="1">
      <alignment horizontal="center" vertical="center"/>
    </xf>
    <xf numFmtId="0" fontId="75" fillId="29" borderId="28" xfId="0" applyFont="1" applyFill="1" applyBorder="1" applyAlignment="1">
      <alignment horizontal="center" vertical="center" wrapText="1"/>
    </xf>
    <xf numFmtId="0" fontId="75" fillId="28" borderId="28" xfId="0" applyFont="1" applyFill="1" applyBorder="1" applyAlignment="1">
      <alignment horizontal="center" vertical="center" wrapText="1"/>
    </xf>
    <xf numFmtId="0" fontId="43" fillId="0" borderId="29" xfId="0" applyFont="1" applyBorder="1" applyAlignment="1">
      <alignment horizontal="center" vertical="center"/>
    </xf>
    <xf numFmtId="0" fontId="43" fillId="0" borderId="34" xfId="0" applyFont="1" applyBorder="1" applyAlignment="1">
      <alignment horizontal="center" vertical="center"/>
    </xf>
    <xf numFmtId="0" fontId="43" fillId="0" borderId="32" xfId="0" applyFont="1" applyBorder="1" applyAlignment="1">
      <alignment horizontal="center" vertical="center"/>
    </xf>
    <xf numFmtId="0" fontId="10" fillId="29" borderId="34" xfId="0" applyFont="1" applyFill="1" applyBorder="1" applyAlignment="1">
      <alignment horizontal="center" vertical="center" wrapText="1"/>
    </xf>
    <xf numFmtId="0" fontId="43" fillId="29" borderId="44" xfId="0" applyFont="1" applyFill="1" applyBorder="1" applyAlignment="1">
      <alignment horizontal="center" vertical="center"/>
    </xf>
    <xf numFmtId="0" fontId="35" fillId="0" borderId="65" xfId="0" applyFont="1" applyBorder="1" applyAlignment="1">
      <alignment horizontal="center" vertical="center"/>
    </xf>
    <xf numFmtId="0" fontId="35" fillId="0" borderId="63" xfId="0" applyFont="1" applyFill="1" applyBorder="1" applyAlignment="1">
      <alignment horizontal="center" vertical="center" wrapText="1"/>
    </xf>
    <xf numFmtId="0" fontId="34" fillId="0" borderId="63" xfId="0" applyFont="1" applyFill="1" applyBorder="1" applyAlignment="1">
      <alignment horizontal="center" vertical="center" wrapText="1"/>
    </xf>
    <xf numFmtId="0" fontId="34" fillId="0" borderId="0" xfId="0" applyFont="1" applyBorder="1" applyAlignment="1">
      <alignment horizontal="center" vertical="center" wrapText="1"/>
    </xf>
    <xf numFmtId="0" fontId="34" fillId="0" borderId="65" xfId="0" applyFont="1" applyBorder="1" applyAlignment="1">
      <alignment horizontal="center" vertical="center" wrapText="1"/>
    </xf>
    <xf numFmtId="0" fontId="35" fillId="0" borderId="0" xfId="0" applyFont="1" applyBorder="1" applyAlignment="1">
      <alignment horizontal="center" vertical="center" wrapText="1"/>
    </xf>
    <xf numFmtId="0" fontId="35" fillId="0" borderId="65" xfId="0" applyFont="1" applyBorder="1" applyAlignment="1">
      <alignment horizontal="center" vertical="center" wrapText="1"/>
    </xf>
    <xf numFmtId="0" fontId="34" fillId="33" borderId="0" xfId="0" applyFont="1" applyFill="1" applyBorder="1" applyAlignment="1">
      <alignment horizontal="center" vertical="center" wrapText="1"/>
    </xf>
    <xf numFmtId="0" fontId="34" fillId="33" borderId="65" xfId="0" applyFont="1" applyFill="1" applyBorder="1" applyAlignment="1">
      <alignment horizontal="center" vertical="center" wrapText="1"/>
    </xf>
    <xf numFmtId="0" fontId="72" fillId="0" borderId="0" xfId="0" applyFont="1" applyAlignment="1">
      <alignment horizontal="left" vertical="center"/>
    </xf>
    <xf numFmtId="0" fontId="0" fillId="0" borderId="36" xfId="0" applyFont="1" applyBorder="1" applyAlignment="1">
      <alignment horizontal="center" vertical="center"/>
    </xf>
    <xf numFmtId="0" fontId="0" fillId="0" borderId="39" xfId="0" applyFont="1" applyBorder="1" applyAlignment="1">
      <alignment horizontal="center" vertical="center"/>
    </xf>
    <xf numFmtId="0" fontId="0" fillId="0" borderId="73" xfId="0" applyFont="1" applyBorder="1" applyAlignment="1">
      <alignment horizontal="center" vertical="center"/>
    </xf>
    <xf numFmtId="0" fontId="0" fillId="0" borderId="44" xfId="0" applyFont="1" applyBorder="1" applyAlignment="1">
      <alignment horizontal="center" vertical="center"/>
    </xf>
    <xf numFmtId="0" fontId="0" fillId="0" borderId="6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68" xfId="0" applyFont="1" applyBorder="1" applyAlignment="1">
      <alignment horizontal="center" vertical="center"/>
    </xf>
    <xf numFmtId="0" fontId="0" fillId="0" borderId="75"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0" fillId="0" borderId="0" xfId="0" applyAlignment="1">
      <alignment horizontal="left" vertical="center"/>
    </xf>
    <xf numFmtId="0" fontId="0" fillId="0" borderId="28" xfId="0" applyBorder="1" applyAlignment="1">
      <alignment horizontal="center" vertical="center"/>
    </xf>
    <xf numFmtId="56" fontId="0" fillId="0" borderId="28" xfId="0" applyNumberFormat="1" applyBorder="1" applyAlignment="1">
      <alignment horizontal="center" vertical="center"/>
    </xf>
    <xf numFmtId="0" fontId="43" fillId="30" borderId="73" xfId="0" applyFont="1" applyFill="1" applyBorder="1" applyAlignment="1">
      <alignment horizontal="center" vertical="center" wrapText="1"/>
    </xf>
    <xf numFmtId="186" fontId="0" fillId="25" borderId="26" xfId="33" applyNumberFormat="1" applyFont="1" applyFill="1" applyBorder="1" applyAlignment="1" applyProtection="1">
      <alignment horizontal="right" vertical="center"/>
      <protection hidden="1"/>
    </xf>
    <xf numFmtId="186" fontId="0" fillId="25" borderId="63" xfId="33" applyNumberFormat="1" applyFont="1" applyFill="1" applyBorder="1" applyAlignment="1" applyProtection="1">
      <alignment horizontal="right" vertical="center"/>
      <protection hidden="1"/>
    </xf>
    <xf numFmtId="186" fontId="0" fillId="25" borderId="74" xfId="33" applyNumberFormat="1" applyFont="1" applyFill="1" applyBorder="1" applyAlignment="1" applyProtection="1">
      <alignment horizontal="right" vertical="center"/>
      <protection hidden="1"/>
    </xf>
    <xf numFmtId="186" fontId="0" fillId="25" borderId="13" xfId="33" applyNumberFormat="1" applyFont="1" applyFill="1" applyBorder="1" applyAlignment="1" applyProtection="1">
      <alignment horizontal="right" vertical="center"/>
      <protection hidden="1"/>
    </xf>
    <xf numFmtId="186" fontId="0" fillId="25" borderId="55" xfId="33" applyNumberFormat="1" applyFont="1" applyFill="1" applyBorder="1" applyAlignment="1" applyProtection="1">
      <alignment horizontal="right" vertical="center"/>
      <protection hidden="1"/>
    </xf>
    <xf numFmtId="186" fontId="0" fillId="25" borderId="15" xfId="33" applyNumberFormat="1" applyFont="1" applyFill="1" applyBorder="1" applyAlignment="1" applyProtection="1">
      <alignment horizontal="right" vertical="center"/>
      <protection hidden="1"/>
    </xf>
    <xf numFmtId="186" fontId="0" fillId="25" borderId="31" xfId="33" applyNumberFormat="1" applyFont="1" applyFill="1" applyBorder="1" applyAlignment="1" applyProtection="1">
      <alignment horizontal="right" vertical="center"/>
      <protection hidden="1"/>
    </xf>
    <xf numFmtId="186" fontId="0" fillId="25" borderId="64" xfId="33" applyNumberFormat="1" applyFont="1" applyFill="1" applyBorder="1" applyAlignment="1" applyProtection="1">
      <alignment horizontal="right" vertical="center"/>
      <protection hidden="1"/>
    </xf>
    <xf numFmtId="186" fontId="0" fillId="25" borderId="75" xfId="33" applyNumberFormat="1" applyFont="1" applyFill="1" applyBorder="1" applyAlignment="1" applyProtection="1">
      <alignment horizontal="right" vertical="center"/>
      <protection hidden="1"/>
    </xf>
    <xf numFmtId="186" fontId="0" fillId="25" borderId="13" xfId="33" applyNumberFormat="1" applyFont="1" applyFill="1" applyBorder="1" applyAlignment="1" applyProtection="1">
      <alignment vertical="center"/>
      <protection hidden="1"/>
    </xf>
    <xf numFmtId="186" fontId="0" fillId="25" borderId="55" xfId="33" applyNumberFormat="1" applyFont="1" applyFill="1" applyBorder="1" applyAlignment="1" applyProtection="1">
      <alignment vertical="center"/>
      <protection hidden="1"/>
    </xf>
    <xf numFmtId="186" fontId="0" fillId="25" borderId="15" xfId="33" applyNumberFormat="1" applyFont="1" applyFill="1" applyBorder="1" applyAlignment="1" applyProtection="1">
      <alignment vertical="center"/>
      <protection hidden="1"/>
    </xf>
    <xf numFmtId="186" fontId="0" fillId="25" borderId="26" xfId="33" applyNumberFormat="1" applyFont="1" applyFill="1" applyBorder="1" applyAlignment="1" applyProtection="1">
      <alignment vertical="center"/>
      <protection hidden="1"/>
    </xf>
    <xf numFmtId="186" fontId="0" fillId="25" borderId="63" xfId="33" applyNumberFormat="1" applyFont="1" applyFill="1" applyBorder="1" applyAlignment="1" applyProtection="1">
      <alignment vertical="center"/>
      <protection hidden="1"/>
    </xf>
    <xf numFmtId="186" fontId="0" fillId="25" borderId="74" xfId="33" applyNumberFormat="1" applyFont="1" applyFill="1" applyBorder="1" applyAlignment="1" applyProtection="1">
      <alignment vertical="center"/>
      <protection hidden="1"/>
    </xf>
    <xf numFmtId="186" fontId="0" fillId="25" borderId="31" xfId="33" applyNumberFormat="1" applyFont="1" applyFill="1" applyBorder="1" applyAlignment="1" applyProtection="1">
      <alignment vertical="center"/>
      <protection hidden="1"/>
    </xf>
    <xf numFmtId="186" fontId="0" fillId="25" borderId="64" xfId="33" applyNumberFormat="1" applyFont="1" applyFill="1" applyBorder="1" applyAlignment="1" applyProtection="1">
      <alignment vertical="center"/>
      <protection hidden="1"/>
    </xf>
    <xf numFmtId="186" fontId="0" fillId="25" borderId="75" xfId="33" applyNumberFormat="1" applyFont="1" applyFill="1" applyBorder="1" applyAlignment="1" applyProtection="1">
      <alignment vertical="center"/>
      <protection hidden="1"/>
    </xf>
    <xf numFmtId="186" fontId="0" fillId="25" borderId="31" xfId="33" applyNumberFormat="1" applyFont="1" applyFill="1" applyBorder="1" applyAlignment="1" applyProtection="1">
      <alignment horizontal="center" vertical="center"/>
      <protection hidden="1"/>
    </xf>
    <xf numFmtId="186" fontId="0" fillId="25" borderId="64" xfId="33" applyNumberFormat="1" applyFont="1" applyFill="1" applyBorder="1" applyAlignment="1" applyProtection="1">
      <alignment horizontal="center" vertical="center"/>
      <protection hidden="1"/>
    </xf>
    <xf numFmtId="186" fontId="0" fillId="25" borderId="75" xfId="33" applyNumberFormat="1" applyFont="1" applyFill="1" applyBorder="1" applyAlignment="1" applyProtection="1">
      <alignment horizontal="center" vertical="center"/>
      <protection hidden="1"/>
    </xf>
    <xf numFmtId="179" fontId="7" fillId="26" borderId="0" xfId="0" applyNumberFormat="1" applyFont="1" applyFill="1" applyAlignment="1" applyProtection="1">
      <alignment horizontal="left" vertical="center"/>
      <protection hidden="1"/>
    </xf>
    <xf numFmtId="0" fontId="3" fillId="0" borderId="0" xfId="0" applyFont="1" applyBorder="1" applyAlignment="1">
      <alignment horizontal="center" vertical="center"/>
    </xf>
    <xf numFmtId="0" fontId="3" fillId="0" borderId="11" xfId="0" applyFont="1" applyBorder="1" applyAlignment="1">
      <alignment horizontal="center" vertical="center"/>
    </xf>
    <xf numFmtId="0" fontId="6" fillId="0" borderId="57" xfId="0" applyFont="1" applyFill="1" applyBorder="1" applyAlignment="1">
      <alignment horizontal="center" vertical="center"/>
    </xf>
    <xf numFmtId="0" fontId="6" fillId="0" borderId="58" xfId="0" applyFont="1" applyFill="1" applyBorder="1" applyAlignment="1">
      <alignment horizontal="center" vertical="center"/>
    </xf>
    <xf numFmtId="182" fontId="3" fillId="0" borderId="31" xfId="0" applyNumberFormat="1" applyFont="1" applyBorder="1" applyAlignment="1" applyProtection="1">
      <alignment horizontal="center" vertical="center"/>
      <protection hidden="1"/>
    </xf>
    <xf numFmtId="0" fontId="0" fillId="0" borderId="64" xfId="0" applyBorder="1" applyAlignment="1" applyProtection="1">
      <alignment vertical="center"/>
      <protection hidden="1"/>
    </xf>
    <xf numFmtId="0" fontId="0" fillId="0" borderId="75" xfId="0" applyBorder="1" applyAlignment="1" applyProtection="1">
      <alignment vertical="center"/>
      <protection hidden="1"/>
    </xf>
    <xf numFmtId="0" fontId="7" fillId="0" borderId="0" xfId="0" applyFont="1" applyAlignment="1">
      <alignment horizontal="left" vertical="center"/>
    </xf>
    <xf numFmtId="186" fontId="0" fillId="25" borderId="13" xfId="33" applyNumberFormat="1" applyFont="1" applyFill="1" applyBorder="1" applyAlignment="1" applyProtection="1">
      <alignment horizontal="center" vertical="center"/>
      <protection hidden="1"/>
    </xf>
    <xf numFmtId="186" fontId="0" fillId="25" borderId="55" xfId="33" applyNumberFormat="1" applyFont="1" applyFill="1" applyBorder="1" applyAlignment="1" applyProtection="1">
      <alignment horizontal="center" vertical="center"/>
      <protection hidden="1"/>
    </xf>
    <xf numFmtId="186" fontId="0" fillId="25" borderId="15" xfId="33" applyNumberFormat="1" applyFont="1" applyFill="1" applyBorder="1" applyAlignment="1" applyProtection="1">
      <alignment horizontal="center" vertical="center"/>
      <protection hidden="1"/>
    </xf>
    <xf numFmtId="186" fontId="0" fillId="25" borderId="26" xfId="33" applyNumberFormat="1" applyFont="1" applyFill="1" applyBorder="1" applyAlignment="1" applyProtection="1">
      <alignment horizontal="center" vertical="center"/>
      <protection hidden="1"/>
    </xf>
    <xf numFmtId="186" fontId="0" fillId="25" borderId="63" xfId="33" applyNumberFormat="1" applyFont="1" applyFill="1" applyBorder="1" applyAlignment="1" applyProtection="1">
      <alignment horizontal="center" vertical="center"/>
      <protection hidden="1"/>
    </xf>
    <xf numFmtId="186" fontId="0" fillId="25" borderId="74" xfId="33" applyNumberFormat="1" applyFont="1" applyFill="1" applyBorder="1" applyAlignment="1" applyProtection="1">
      <alignment horizontal="center" vertical="center"/>
      <protection hidden="1"/>
    </xf>
    <xf numFmtId="179" fontId="7" fillId="27" borderId="0" xfId="0" applyNumberFormat="1" applyFont="1" applyFill="1" applyAlignment="1" applyProtection="1">
      <alignment horizontal="center" vertical="center"/>
      <protection hidden="1"/>
    </xf>
    <xf numFmtId="0" fontId="0" fillId="0" borderId="0" xfId="0" applyFont="1" applyBorder="1" applyAlignment="1">
      <alignment horizontal="center" vertical="center"/>
    </xf>
    <xf numFmtId="0" fontId="0" fillId="0" borderId="11" xfId="0" applyFont="1" applyBorder="1" applyAlignment="1">
      <alignment horizontal="center" vertical="center"/>
    </xf>
    <xf numFmtId="0" fontId="41" fillId="0" borderId="57" xfId="0" applyFont="1" applyFill="1" applyBorder="1" applyAlignment="1">
      <alignment horizontal="center" vertical="center"/>
    </xf>
    <xf numFmtId="0" fontId="41" fillId="0" borderId="58" xfId="0" applyFont="1" applyFill="1" applyBorder="1" applyAlignment="1">
      <alignment horizontal="center" vertical="center"/>
    </xf>
    <xf numFmtId="182" fontId="0" fillId="0" borderId="31" xfId="0" applyNumberFormat="1" applyFont="1" applyBorder="1" applyAlignment="1" applyProtection="1">
      <alignment horizontal="center" vertical="center"/>
      <protection hidden="1"/>
    </xf>
    <xf numFmtId="0" fontId="0" fillId="0" borderId="64" xfId="0" applyFont="1" applyBorder="1" applyAlignment="1" applyProtection="1">
      <alignment vertical="center"/>
      <protection hidden="1"/>
    </xf>
    <xf numFmtId="0" fontId="0" fillId="0" borderId="75" xfId="0" applyFont="1" applyBorder="1" applyAlignment="1" applyProtection="1">
      <alignment vertical="center"/>
      <protection hidden="1"/>
    </xf>
    <xf numFmtId="182" fontId="3" fillId="0" borderId="64" xfId="0" applyNumberFormat="1" applyFont="1" applyBorder="1" applyAlignment="1" applyProtection="1">
      <alignment horizontal="center" vertical="center"/>
      <protection hidden="1"/>
    </xf>
    <xf numFmtId="182" fontId="3" fillId="0" borderId="75" xfId="0" applyNumberFormat="1" applyFont="1" applyBorder="1" applyAlignment="1" applyProtection="1">
      <alignment horizontal="center" vertical="center"/>
      <protection hidden="1"/>
    </xf>
    <xf numFmtId="179" fontId="7" fillId="27" borderId="0" xfId="0" applyNumberFormat="1" applyFont="1" applyFill="1" applyAlignment="1" applyProtection="1">
      <alignment horizontal="left" vertical="center"/>
      <protection hidden="1"/>
    </xf>
    <xf numFmtId="0" fontId="0" fillId="0" borderId="0" xfId="0" applyBorder="1" applyAlignment="1">
      <alignment vertical="center" wrapText="1" shrinkToFit="1"/>
    </xf>
    <xf numFmtId="0" fontId="0" fillId="0" borderId="0" xfId="0" applyAlignment="1">
      <alignment vertical="center" wrapText="1"/>
    </xf>
    <xf numFmtId="0" fontId="0" fillId="0" borderId="11" xfId="0" applyBorder="1" applyAlignment="1">
      <alignment vertical="center" wrapText="1"/>
    </xf>
    <xf numFmtId="56" fontId="55" fillId="0" borderId="0" xfId="0" applyNumberFormat="1" applyFont="1" applyFill="1" applyBorder="1" applyAlignment="1">
      <alignment horizontal="center" vertical="center"/>
    </xf>
    <xf numFmtId="0" fontId="55" fillId="0" borderId="0" xfId="0" applyFont="1" applyFill="1" applyBorder="1" applyAlignment="1">
      <alignment horizontal="center" vertical="center"/>
    </xf>
    <xf numFmtId="178" fontId="55" fillId="0" borderId="0" xfId="0" applyNumberFormat="1" applyFont="1" applyFill="1" applyBorder="1" applyAlignment="1">
      <alignment horizontal="center" vertical="center"/>
    </xf>
    <xf numFmtId="56" fontId="55" fillId="0" borderId="66" xfId="0" applyNumberFormat="1" applyFont="1" applyFill="1" applyBorder="1" applyAlignment="1">
      <alignment horizontal="center" vertical="center"/>
    </xf>
    <xf numFmtId="0" fontId="55" fillId="0" borderId="66" xfId="0" applyFont="1" applyFill="1" applyBorder="1" applyAlignment="1">
      <alignment horizontal="center" vertical="center"/>
    </xf>
    <xf numFmtId="0" fontId="55" fillId="0" borderId="65" xfId="0" applyFont="1" applyFill="1" applyBorder="1" applyAlignment="1">
      <alignment horizontal="center" vertical="center"/>
    </xf>
    <xf numFmtId="185" fontId="55" fillId="0" borderId="66" xfId="0" applyNumberFormat="1" applyFont="1" applyFill="1" applyBorder="1" applyAlignment="1">
      <alignment horizontal="center" vertical="center"/>
    </xf>
    <xf numFmtId="185" fontId="55" fillId="0" borderId="0" xfId="0" applyNumberFormat="1" applyFont="1" applyFill="1" applyBorder="1" applyAlignment="1">
      <alignment horizontal="center" vertical="center"/>
    </xf>
    <xf numFmtId="185" fontId="55" fillId="0" borderId="65" xfId="0" applyNumberFormat="1" applyFont="1" applyFill="1" applyBorder="1" applyAlignment="1">
      <alignment horizontal="center" vertical="center"/>
    </xf>
    <xf numFmtId="178" fontId="55" fillId="0" borderId="66" xfId="0" applyNumberFormat="1" applyFont="1" applyFill="1" applyBorder="1" applyAlignment="1">
      <alignment horizontal="center" vertical="center"/>
    </xf>
    <xf numFmtId="178" fontId="55" fillId="0" borderId="65" xfId="0" applyNumberFormat="1" applyFont="1" applyFill="1" applyBorder="1" applyAlignment="1">
      <alignment horizontal="center" vertical="center"/>
    </xf>
    <xf numFmtId="0" fontId="55" fillId="0" borderId="0" xfId="0" applyFont="1" applyFill="1" applyBorder="1" applyAlignment="1">
      <alignment horizontal="left" vertical="center"/>
    </xf>
    <xf numFmtId="0" fontId="55" fillId="0" borderId="66" xfId="0" applyNumberFormat="1" applyFont="1" applyFill="1" applyBorder="1" applyAlignment="1">
      <alignment horizontal="center" vertical="center"/>
    </xf>
    <xf numFmtId="0" fontId="55" fillId="0" borderId="0" xfId="0" applyNumberFormat="1" applyFont="1" applyFill="1" applyBorder="1" applyAlignment="1">
      <alignment horizontal="center" vertical="center"/>
    </xf>
    <xf numFmtId="0" fontId="55" fillId="0" borderId="65" xfId="0" applyNumberFormat="1" applyFont="1" applyFill="1" applyBorder="1" applyAlignment="1">
      <alignment horizontal="center" vertical="center"/>
    </xf>
    <xf numFmtId="176" fontId="55" fillId="0" borderId="0" xfId="0" applyNumberFormat="1" applyFont="1" applyFill="1" applyBorder="1" applyAlignment="1">
      <alignment horizontal="center" vertical="center"/>
    </xf>
  </cellXfs>
  <cellStyles count="4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メモ 2" xfId="44" xr:uid="{00000000-0005-0000-0000-00001D000000}"/>
    <cellStyle name="リンク セル" xfId="29" builtinId="24" customBuiltin="1"/>
    <cellStyle name="悪い" xfId="30" builtinId="27" customBuiltin="1"/>
    <cellStyle name="計算" xfId="31" builtinId="22" customBuiltin="1"/>
    <cellStyle name="警告文" xfId="32" builtinId="11" customBuiltin="1"/>
    <cellStyle name="桁区切り" xfId="33" builtinId="6"/>
    <cellStyle name="見出し 1" xfId="34" builtinId="16" customBuiltin="1"/>
    <cellStyle name="見出し 2" xfId="35" builtinId="17" customBuiltin="1"/>
    <cellStyle name="見出し 3" xfId="36" builtinId="18" customBuiltin="1"/>
    <cellStyle name="見出し 4" xfId="37" builtinId="19" customBuiltin="1"/>
    <cellStyle name="集計" xfId="38" builtinId="25" customBuiltin="1"/>
    <cellStyle name="出力" xfId="39" builtinId="21" customBuiltin="1"/>
    <cellStyle name="説明文" xfId="40" builtinId="53" customBuiltin="1"/>
    <cellStyle name="入力" xfId="41" builtinId="20" customBuiltin="1"/>
    <cellStyle name="標準" xfId="0" builtinId="0"/>
    <cellStyle name="標準 2" xfId="43" xr:uid="{00000000-0005-0000-0000-00002C000000}"/>
    <cellStyle name="良い" xfId="42" builtinId="26" customBuiltin="1"/>
  </cellStyles>
  <dxfs count="0"/>
  <tableStyles count="0" defaultTableStyle="TableStyleMedium2" defaultPivotStyle="PivotStyleLight16"/>
  <colors>
    <mruColors>
      <color rgb="FF0000FF"/>
      <color rgb="FFFFFF99"/>
      <color rgb="FF006600"/>
      <color rgb="FFFF0066"/>
      <color rgb="FFFFFF66"/>
      <color rgb="FFCCCC00"/>
      <color rgb="FF99CC00"/>
      <color rgb="FFFFCC00"/>
      <color rgb="FFFF9900"/>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worksheets/sheet18.xml" Type="http://schemas.openxmlformats.org/officeDocument/2006/relationships/worksheet"/><Relationship Id="rId19" Target="worksheets/sheet19.xml" Type="http://schemas.openxmlformats.org/officeDocument/2006/relationships/worksheet"/><Relationship Id="rId2" Target="worksheets/sheet2.xml" Type="http://schemas.openxmlformats.org/officeDocument/2006/relationships/worksheet"/><Relationship Id="rId20" Target="worksheets/sheet20.xml" Type="http://schemas.openxmlformats.org/officeDocument/2006/relationships/worksheet"/><Relationship Id="rId21" Target="worksheets/sheet21.xml" Type="http://schemas.openxmlformats.org/officeDocument/2006/relationships/worksheet"/><Relationship Id="rId22" Target="theme/theme1.xml" Type="http://schemas.openxmlformats.org/officeDocument/2006/relationships/theme"/><Relationship Id="rId23" Target="styles.xml" Type="http://schemas.openxmlformats.org/officeDocument/2006/relationships/styles"/><Relationship Id="rId24" Target="sharedStrings.xml" Type="http://schemas.openxmlformats.org/officeDocument/2006/relationships/sharedStrings"/><Relationship Id="rId25" Target="persons/person.xml" Type="http://schemas.microsoft.com/office/2017/10/relationships/person"/><Relationship Id="rId26"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2.xml" Type="http://schemas.openxmlformats.org/officeDocument/2006/relationships/chartUserShapes"/></Relationships>
</file>

<file path=xl/charts/_rels/chart10.xml.rels><?xml version="1.0" encoding="UTF-8" standalone="yes"?><Relationships xmlns="http://schemas.openxmlformats.org/package/2006/relationships"><Relationship Id="rId1" Target="../drawings/drawing13.xml" Type="http://schemas.openxmlformats.org/officeDocument/2006/relationships/chartUserShapes"/></Relationships>
</file>

<file path=xl/charts/_rels/chart11.xml.rels><?xml version="1.0" encoding="UTF-8" standalone="yes"?><Relationships xmlns="http://schemas.openxmlformats.org/package/2006/relationships"><Relationship Id="rId1" Target="../drawings/drawing14.xml" Type="http://schemas.openxmlformats.org/officeDocument/2006/relationships/chartUserShapes"/></Relationships>
</file>

<file path=xl/charts/_rels/chart12.xml.rels><?xml version="1.0" encoding="UTF-8" standalone="yes"?><Relationships xmlns="http://schemas.openxmlformats.org/package/2006/relationships"><Relationship Id="rId1" Target="../drawings/drawing15.xml" Type="http://schemas.openxmlformats.org/officeDocument/2006/relationships/chartUserShapes"/></Relationships>
</file>

<file path=xl/charts/_rels/chart13.xml.rels><?xml version="1.0" encoding="UTF-8" standalone="yes"?><Relationships xmlns="http://schemas.openxmlformats.org/package/2006/relationships"><Relationship Id="rId1" Target="../drawings/drawing16.xml" Type="http://schemas.openxmlformats.org/officeDocument/2006/relationships/chartUserShapes"/></Relationships>
</file>

<file path=xl/charts/_rels/chart14.xml.rels><?xml version="1.0" encoding="UTF-8" standalone="yes"?><Relationships xmlns="http://schemas.openxmlformats.org/package/2006/relationships"><Relationship Id="rId1" Target="../drawings/drawing18.xml" Type="http://schemas.openxmlformats.org/officeDocument/2006/relationships/chartUserShapes"/></Relationships>
</file>

<file path=xl/charts/_rels/chart15.xml.rels><?xml version="1.0" encoding="UTF-8" standalone="yes"?><Relationships xmlns="http://schemas.openxmlformats.org/package/2006/relationships"><Relationship Id="rId1" Target="../drawings/drawing19.xml" Type="http://schemas.openxmlformats.org/officeDocument/2006/relationships/chartUserShapes"/></Relationships>
</file>

<file path=xl/charts/_rels/chart16.xml.rels><?xml version="1.0" encoding="UTF-8" standalone="yes"?><Relationships xmlns="http://schemas.openxmlformats.org/package/2006/relationships"><Relationship Id="rId1" Target="../drawings/drawing20.xml" Type="http://schemas.openxmlformats.org/officeDocument/2006/relationships/chartUserShapes"/></Relationships>
</file>

<file path=xl/charts/_rels/chart17.xml.rels><?xml version="1.0" encoding="UTF-8" standalone="yes"?><Relationships xmlns="http://schemas.openxmlformats.org/package/2006/relationships"><Relationship Id="rId1" Target="../drawings/drawing21.xml" Type="http://schemas.openxmlformats.org/officeDocument/2006/relationships/chartUserShapes"/></Relationships>
</file>

<file path=xl/charts/_rels/chart2.xml.rels><?xml version="1.0" encoding="UTF-8" standalone="yes"?><Relationships xmlns="http://schemas.openxmlformats.org/package/2006/relationships"><Relationship Id="rId1" Target="../drawings/drawing3.xml" Type="http://schemas.openxmlformats.org/officeDocument/2006/relationships/chartUserShapes"/></Relationships>
</file>

<file path=xl/charts/_rels/chart20.xml.rels><?xml version="1.0" encoding="UTF-8" standalone="yes"?><Relationships xmlns="http://schemas.openxmlformats.org/package/2006/relationships"><Relationship Id="rId1" Target="../drawings/drawing23.xml" Type="http://schemas.openxmlformats.org/officeDocument/2006/relationships/chartUserShapes"/></Relationships>
</file>

<file path=xl/charts/_rels/chart21.xml.rels><?xml version="1.0" encoding="UTF-8" standalone="yes"?><Relationships xmlns="http://schemas.openxmlformats.org/package/2006/relationships"><Relationship Id="rId1" Target="../drawings/drawing25.xml" Type="http://schemas.openxmlformats.org/officeDocument/2006/relationships/chartUserShapes"/></Relationships>
</file>

<file path=xl/charts/_rels/chart22.xml.rels><?xml version="1.0" encoding="UTF-8" standalone="yes"?><Relationships xmlns="http://schemas.openxmlformats.org/package/2006/relationships"><Relationship Id="rId1" Target="style1.xml" Type="http://schemas.microsoft.com/office/2011/relationships/chartStyle"/><Relationship Id="rId2" Target="colors1.xml" Type="http://schemas.microsoft.com/office/2011/relationships/chartColorStyle"/></Relationships>
</file>

<file path=xl/charts/_rels/chart3.xml.rels><?xml version="1.0" encoding="UTF-8" standalone="yes"?><Relationships xmlns="http://schemas.openxmlformats.org/package/2006/relationships"><Relationship Id="rId1" Target="../drawings/drawing4.xml" Type="http://schemas.openxmlformats.org/officeDocument/2006/relationships/chartUserShapes"/></Relationships>
</file>

<file path=xl/charts/_rels/chart4.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5.xml.rels><?xml version="1.0" encoding="UTF-8" standalone="yes"?><Relationships xmlns="http://schemas.openxmlformats.org/package/2006/relationships"><Relationship Id="rId1" Target="../drawings/drawing6.xml" Type="http://schemas.openxmlformats.org/officeDocument/2006/relationships/chartUserShapes"/></Relationships>
</file>

<file path=xl/charts/_rels/chart6.xml.rels><?xml version="1.0" encoding="UTF-8" standalone="yes"?><Relationships xmlns="http://schemas.openxmlformats.org/package/2006/relationships"><Relationship Id="rId1" Target="../drawings/drawing7.xml" Type="http://schemas.openxmlformats.org/officeDocument/2006/relationships/chartUserShapes"/></Relationships>
</file>

<file path=xl/charts/_rels/chart7.xml.rels><?xml version="1.0" encoding="UTF-8" standalone="yes"?><Relationships xmlns="http://schemas.openxmlformats.org/package/2006/relationships"><Relationship Id="rId1" Target="../drawings/drawing8.xml" Type="http://schemas.openxmlformats.org/officeDocument/2006/relationships/chartUserShapes"/></Relationships>
</file>

<file path=xl/charts/_rels/chart8.xml.rels><?xml version="1.0" encoding="UTF-8" standalone="yes"?><Relationships xmlns="http://schemas.openxmlformats.org/package/2006/relationships"><Relationship Id="rId1" Target="../drawings/drawing9.xml" Type="http://schemas.openxmlformats.org/officeDocument/2006/relationships/chartUserShapes"/></Relationships>
</file>

<file path=xl/charts/_rels/chart9.xml.rels><?xml version="1.0" encoding="UTF-8" standalone="yes"?><Relationships xmlns="http://schemas.openxmlformats.org/package/2006/relationships"><Relationship Id="rId1" Target="../drawings/drawing11.xml" Type="http://schemas.openxmlformats.org/officeDocument/2006/relationships/chartUserShapes"/></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ja-JP"/>
              <a:t>チャノホソガ　発生消長（フェロモントラップ）</a:t>
            </a:r>
          </a:p>
        </c:rich>
      </c:tx>
      <c:layout>
        <c:manualLayout>
          <c:xMode val="edge"/>
          <c:yMode val="edge"/>
          <c:x val="0.27957367528260701"/>
          <c:y val="2.7295847311865283E-4"/>
        </c:manualLayout>
      </c:layout>
      <c:overlay val="0"/>
      <c:spPr>
        <a:noFill/>
        <a:ln w="25400">
          <a:noFill/>
        </a:ln>
      </c:spPr>
    </c:title>
    <c:autoTitleDeleted val="0"/>
    <c:plotArea>
      <c:layout>
        <c:manualLayout>
          <c:layoutTarget val="inner"/>
          <c:xMode val="edge"/>
          <c:yMode val="edge"/>
          <c:x val="0.11812686570035359"/>
          <c:y val="0.11953494157738176"/>
          <c:w val="0.85699605589726169"/>
          <c:h val="0.75240682838371398"/>
        </c:manualLayout>
      </c:layout>
      <c:lineChart>
        <c:grouping val="standard"/>
        <c:varyColors val="0"/>
        <c:ser>
          <c:idx val="1"/>
          <c:order val="0"/>
          <c:tx>
            <c:strRef>
              <c:f>ホソガ!$E$6</c:f>
              <c:strCache>
                <c:ptCount val="1"/>
                <c:pt idx="0">
                  <c:v>平年（過去10年）</c:v>
                </c:pt>
              </c:strCache>
            </c:strRef>
          </c:tx>
          <c:spPr>
            <a:ln w="25400">
              <a:solidFill>
                <a:srgbClr val="C00000"/>
              </a:solidFill>
              <a:prstDash val="solid"/>
            </a:ln>
          </c:spPr>
          <c:marker>
            <c:symbol val="triangle"/>
            <c:size val="8"/>
            <c:spPr>
              <a:solidFill>
                <a:srgbClr val="C00000"/>
              </a:solidFill>
              <a:ln>
                <a:solidFill>
                  <a:srgbClr val="C00000"/>
                </a:solidFill>
                <a:prstDash val="solid"/>
              </a:ln>
            </c:spPr>
          </c:marker>
          <c:cat>
            <c:strRef>
              <c:f>ホソガ!$B$8:$B$61</c:f>
              <c:strCache>
                <c:ptCount val="51"/>
                <c:pt idx="2">
                  <c:v>3月</c:v>
                </c:pt>
                <c:pt idx="8">
                  <c:v>4月</c:v>
                </c:pt>
                <c:pt idx="14">
                  <c:v>5月</c:v>
                </c:pt>
                <c:pt idx="20">
                  <c:v>6月</c:v>
                </c:pt>
                <c:pt idx="26">
                  <c:v>7月</c:v>
                </c:pt>
                <c:pt idx="32">
                  <c:v>8月</c:v>
                </c:pt>
                <c:pt idx="38">
                  <c:v>9月</c:v>
                </c:pt>
                <c:pt idx="44">
                  <c:v>10月</c:v>
                </c:pt>
                <c:pt idx="50">
                  <c:v>11月</c:v>
                </c:pt>
              </c:strCache>
            </c:strRef>
          </c:cat>
          <c:val>
            <c:numRef>
              <c:f>ホソガ!$E$8:$E$61</c:f>
              <c:numCache>
                <c:formatCode>0.0;;0</c:formatCode>
                <c:ptCount val="54"/>
                <c:pt idx="0">
                  <c:v>2.6555555555555554</c:v>
                </c:pt>
                <c:pt idx="1">
                  <c:v>7.5</c:v>
                </c:pt>
                <c:pt idx="2">
                  <c:v>21.39</c:v>
                </c:pt>
                <c:pt idx="3">
                  <c:v>188.75</c:v>
                </c:pt>
                <c:pt idx="4">
                  <c:v>131.37</c:v>
                </c:pt>
                <c:pt idx="5">
                  <c:v>407.11333333333334</c:v>
                </c:pt>
                <c:pt idx="6">
                  <c:v>364.81333333333339</c:v>
                </c:pt>
                <c:pt idx="7">
                  <c:v>175.12966666666668</c:v>
                </c:pt>
                <c:pt idx="8">
                  <c:v>136.30000000000001</c:v>
                </c:pt>
                <c:pt idx="9">
                  <c:v>78.650000000000006</c:v>
                </c:pt>
                <c:pt idx="10">
                  <c:v>38.415714285714287</c:v>
                </c:pt>
                <c:pt idx="11">
                  <c:v>9.3214285714285712</c:v>
                </c:pt>
                <c:pt idx="12">
                  <c:v>9.4642857142857135</c:v>
                </c:pt>
                <c:pt idx="13">
                  <c:v>1.825</c:v>
                </c:pt>
                <c:pt idx="14">
                  <c:v>1.7310000000000003</c:v>
                </c:pt>
                <c:pt idx="15">
                  <c:v>73.982333333333344</c:v>
                </c:pt>
                <c:pt idx="16">
                  <c:v>424.9133333333333</c:v>
                </c:pt>
                <c:pt idx="17">
                  <c:v>1417.1166666666666</c:v>
                </c:pt>
                <c:pt idx="18">
                  <c:v>1174.7060000000001</c:v>
                </c:pt>
                <c:pt idx="19">
                  <c:v>801.14400000000001</c:v>
                </c:pt>
                <c:pt idx="20">
                  <c:v>446.07</c:v>
                </c:pt>
                <c:pt idx="21">
                  <c:v>209.417</c:v>
                </c:pt>
                <c:pt idx="22">
                  <c:v>124.00300000000001</c:v>
                </c:pt>
                <c:pt idx="23">
                  <c:v>343.32</c:v>
                </c:pt>
                <c:pt idx="24">
                  <c:v>486.15899999999999</c:v>
                </c:pt>
                <c:pt idx="25">
                  <c:v>536.40499999999997</c:v>
                </c:pt>
                <c:pt idx="26">
                  <c:v>402.15933333333339</c:v>
                </c:pt>
                <c:pt idx="27">
                  <c:v>259.64033333333333</c:v>
                </c:pt>
                <c:pt idx="28">
                  <c:v>153.33633333333333</c:v>
                </c:pt>
                <c:pt idx="29">
                  <c:v>132.87899999999999</c:v>
                </c:pt>
                <c:pt idx="30">
                  <c:v>172.47242857142857</c:v>
                </c:pt>
                <c:pt idx="31">
                  <c:v>118.32047619047619</c:v>
                </c:pt>
                <c:pt idx="32">
                  <c:v>63.806666666666658</c:v>
                </c:pt>
                <c:pt idx="33">
                  <c:v>49.413333333333334</c:v>
                </c:pt>
                <c:pt idx="34">
                  <c:v>187.80033333333333</c:v>
                </c:pt>
                <c:pt idx="35">
                  <c:v>225.14966666666663</c:v>
                </c:pt>
                <c:pt idx="36">
                  <c:v>274.4360476190476</c:v>
                </c:pt>
                <c:pt idx="37">
                  <c:v>396.76395238095245</c:v>
                </c:pt>
                <c:pt idx="38">
                  <c:v>285.95033333333333</c:v>
                </c:pt>
                <c:pt idx="39">
                  <c:v>237.07000000000002</c:v>
                </c:pt>
                <c:pt idx="40">
                  <c:v>273.733</c:v>
                </c:pt>
                <c:pt idx="41">
                  <c:v>438.37714285714281</c:v>
                </c:pt>
                <c:pt idx="42">
                  <c:v>546.35985714285721</c:v>
                </c:pt>
                <c:pt idx="43">
                  <c:v>435.113</c:v>
                </c:pt>
                <c:pt idx="44">
                  <c:v>419.41700000000003</c:v>
                </c:pt>
                <c:pt idx="45">
                  <c:v>254.25666666666666</c:v>
                </c:pt>
                <c:pt idx="46">
                  <c:v>210.80833333333334</c:v>
                </c:pt>
                <c:pt idx="47">
                  <c:v>183.96199999999999</c:v>
                </c:pt>
                <c:pt idx="48">
                  <c:v>91.613</c:v>
                </c:pt>
                <c:pt idx="49">
                  <c:v>96.50366666666666</c:v>
                </c:pt>
                <c:pt idx="50">
                  <c:v>41.610857142857142</c:v>
                </c:pt>
                <c:pt idx="51">
                  <c:v>22.310571428571428</c:v>
                </c:pt>
                <c:pt idx="52">
                  <c:v>42.070476190476185</c:v>
                </c:pt>
                <c:pt idx="53">
                  <c:v>17.696999999999999</c:v>
                </c:pt>
              </c:numCache>
            </c:numRef>
          </c:val>
          <c:smooth val="0"/>
          <c:extLst>
            <c:ext xmlns:c16="http://schemas.microsoft.com/office/drawing/2014/chart" uri="{C3380CC4-5D6E-409C-BE32-E72D297353CC}">
              <c16:uniqueId val="{00000000-85F4-4A11-9CEF-80C4ACB98D5B}"/>
            </c:ext>
          </c:extLst>
        </c:ser>
        <c:ser>
          <c:idx val="0"/>
          <c:order val="1"/>
          <c:tx>
            <c:strRef>
              <c:f>ホソガ!$D$6</c:f>
              <c:strCache>
                <c:ptCount val="1"/>
                <c:pt idx="0">
                  <c:v>2026年</c:v>
                </c:pt>
              </c:strCache>
            </c:strRef>
          </c:tx>
          <c:spPr>
            <a:ln w="25400">
              <a:solidFill>
                <a:srgbClr val="0000FF"/>
              </a:solidFill>
              <a:prstDash val="solid"/>
            </a:ln>
          </c:spPr>
          <c:marker>
            <c:symbol val="circle"/>
            <c:size val="8"/>
            <c:spPr>
              <a:solidFill>
                <a:srgbClr val="0000FF"/>
              </a:solidFill>
              <a:ln>
                <a:solidFill>
                  <a:srgbClr val="0000FF"/>
                </a:solidFill>
                <a:prstDash val="solid"/>
              </a:ln>
            </c:spPr>
          </c:marker>
          <c:cat>
            <c:strRef>
              <c:f>ホソガ!$B$8:$B$61</c:f>
              <c:strCache>
                <c:ptCount val="51"/>
                <c:pt idx="2">
                  <c:v>3月</c:v>
                </c:pt>
                <c:pt idx="8">
                  <c:v>4月</c:v>
                </c:pt>
                <c:pt idx="14">
                  <c:v>5月</c:v>
                </c:pt>
                <c:pt idx="20">
                  <c:v>6月</c:v>
                </c:pt>
                <c:pt idx="26">
                  <c:v>7月</c:v>
                </c:pt>
                <c:pt idx="32">
                  <c:v>8月</c:v>
                </c:pt>
                <c:pt idx="38">
                  <c:v>9月</c:v>
                </c:pt>
                <c:pt idx="44">
                  <c:v>10月</c:v>
                </c:pt>
                <c:pt idx="50">
                  <c:v>11月</c:v>
                </c:pt>
              </c:strCache>
            </c:strRef>
          </c:cat>
          <c:val>
            <c:numRef>
              <c:f>ホソガ!$AZ$8:$AZ$61</c:f>
              <c:numCache>
                <c:formatCode>General</c:formatCode>
                <c:ptCount val="54"/>
                <c:pt idx="0">
                  <c:v>1</c:v>
                </c:pt>
                <c:pt idx="1">
                  <c:v>4</c:v>
                </c:pt>
                <c:pt idx="2">
                  <c:v>0</c:v>
                </c:pt>
                <c:pt idx="3">
                  <c:v>0.7142857142857143</c:v>
                </c:pt>
                <c:pt idx="4">
                  <c:v>2.2857142857142856</c:v>
                </c:pt>
                <c:pt idx="5">
                  <c:v>135</c:v>
                </c:pt>
                <c:pt idx="6">
                  <c:v>67</c:v>
                </c:pt>
                <c:pt idx="7">
                  <c:v>27.857142857142858</c:v>
                </c:pt>
                <c:pt idx="8">
                  <c:v>18.333333333333332</c:v>
                </c:pt>
                <c:pt idx="9">
                  <c:v>8</c:v>
                </c:pt>
                <c:pt idx="10">
                  <c:v>3.3333333333333335</c:v>
                </c:pt>
                <c:pt idx="11">
                  <c:v>2.5</c:v>
                </c:pt>
                <c:pt idx="12">
                  <c:v>0</c:v>
                </c:pt>
                <c:pt idx="13">
                  <c:v>0</c:v>
                </c:pt>
                <c:pt idx="14">
                  <c:v>6.666666666666667</c:v>
                </c:pt>
                <c:pt idx="15">
                  <c:v>183.33333333333334</c:v>
                </c:pt>
                <c:pt idx="16">
                  <c:v>356</c:v>
                </c:pt>
                <c:pt idx="17">
                  <c:v>494.16666666666669</c:v>
                </c:pt>
                <c:pt idx="18">
                  <c:v>154.28571428571428</c:v>
                </c:pt>
                <c:pt idx="19">
                  <c:v>85</c:v>
                </c:pt>
                <c:pt idx="20">
                  <c:v>52</c:v>
                </c:pt>
                <c:pt idx="21">
                  <c:v>31.666666666666668</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numCache>
            </c:numRef>
          </c:val>
          <c:smooth val="0"/>
          <c:extLst>
            <c:ext xmlns:c16="http://schemas.microsoft.com/office/drawing/2014/chart" uri="{C3380CC4-5D6E-409C-BE32-E72D297353CC}">
              <c16:uniqueId val="{00000001-85F4-4A11-9CEF-80C4ACB98D5B}"/>
            </c:ext>
          </c:extLst>
        </c:ser>
        <c:dLbls>
          <c:showLegendKey val="0"/>
          <c:showVal val="0"/>
          <c:showCatName val="0"/>
          <c:showSerName val="0"/>
          <c:showPercent val="0"/>
          <c:showBubbleSize val="0"/>
        </c:dLbls>
        <c:marker val="1"/>
        <c:smooth val="0"/>
        <c:axId val="700297584"/>
        <c:axId val="700299152"/>
      </c:lineChart>
      <c:catAx>
        <c:axId val="700297584"/>
        <c:scaling>
          <c:orientation val="minMax"/>
        </c:scaling>
        <c:delete val="0"/>
        <c:axPos val="b"/>
        <c:majorGridlines>
          <c:spPr>
            <a:ln w="3175">
              <a:solidFill>
                <a:srgbClr val="000000"/>
              </a:solidFill>
              <a:prstDash val="solid"/>
            </a:ln>
          </c:spPr>
        </c:majorGridlines>
        <c:numFmt formatCode="General" sourceLinked="0"/>
        <c:majorTickMark val="in"/>
        <c:minorTickMark val="none"/>
        <c:tickLblPos val="nextTo"/>
        <c:spPr>
          <a:ln w="3175">
            <a:solidFill>
              <a:srgbClr val="000000"/>
            </a:solidFill>
            <a:prstDash val="solid"/>
          </a:ln>
        </c:spPr>
        <c:txPr>
          <a:bodyPr rot="0" vert="horz"/>
          <a:lstStyle/>
          <a:p>
            <a:pPr>
              <a:defRPr/>
            </a:pPr>
            <a:endParaRPr lang="ja-JP"/>
          </a:p>
        </c:txPr>
        <c:crossAx val="700299152"/>
        <c:crosses val="autoZero"/>
        <c:auto val="1"/>
        <c:lblAlgn val="ctr"/>
        <c:lblOffset val="100"/>
        <c:tickLblSkip val="2"/>
        <c:tickMarkSkip val="6"/>
        <c:noMultiLvlLbl val="0"/>
      </c:catAx>
      <c:valAx>
        <c:axId val="700299152"/>
        <c:scaling>
          <c:orientation val="minMax"/>
          <c:max val="2000"/>
          <c:min val="0"/>
        </c:scaling>
        <c:delete val="0"/>
        <c:axPos val="l"/>
        <c:majorGridlines>
          <c:spPr>
            <a:ln w="3175">
              <a:solidFill>
                <a:srgbClr val="000000"/>
              </a:solidFill>
              <a:prstDash val="solid"/>
            </a:ln>
          </c:spPr>
        </c:majorGridlines>
        <c:title>
          <c:tx>
            <c:rich>
              <a:bodyPr/>
              <a:lstStyle/>
              <a:p>
                <a:pPr>
                  <a:defRPr/>
                </a:pPr>
                <a:r>
                  <a:rPr lang="ja-JP"/>
                  <a:t>成虫誘殺数（頭</a:t>
                </a:r>
                <a:r>
                  <a:rPr lang="en-US"/>
                  <a:t>/</a:t>
                </a:r>
                <a:r>
                  <a:rPr lang="ja-JP"/>
                  <a:t>半旬）</a:t>
                </a:r>
              </a:p>
            </c:rich>
          </c:tx>
          <c:layout>
            <c:manualLayout>
              <c:xMode val="edge"/>
              <c:yMode val="edge"/>
              <c:x val="9.6192410055635314E-4"/>
              <c:y val="0.13314479030698137"/>
            </c:manualLayout>
          </c:layout>
          <c:overlay val="0"/>
          <c:spPr>
            <a:noFill/>
            <a:ln w="25400">
              <a:noFill/>
            </a:ln>
          </c:spPr>
        </c:title>
        <c:numFmt formatCode="General" sourceLinked="0"/>
        <c:majorTickMark val="in"/>
        <c:minorTickMark val="none"/>
        <c:tickLblPos val="nextTo"/>
        <c:spPr>
          <a:ln w="3175">
            <a:solidFill>
              <a:srgbClr val="000000"/>
            </a:solidFill>
            <a:prstDash val="solid"/>
          </a:ln>
        </c:spPr>
        <c:txPr>
          <a:bodyPr rot="0" vert="horz"/>
          <a:lstStyle/>
          <a:p>
            <a:pPr>
              <a:defRPr sz="1800"/>
            </a:pPr>
            <a:endParaRPr lang="ja-JP"/>
          </a:p>
        </c:txPr>
        <c:crossAx val="700297584"/>
        <c:crosses val="autoZero"/>
        <c:crossBetween val="between"/>
        <c:majorUnit val="500"/>
      </c:valAx>
      <c:spPr>
        <a:noFill/>
        <a:ln w="12700">
          <a:solidFill>
            <a:sysClr val="windowText" lastClr="000000"/>
          </a:solidFill>
          <a:prstDash val="solid"/>
        </a:ln>
      </c:spPr>
    </c:plotArea>
    <c:legend>
      <c:legendPos val="r"/>
      <c:layout>
        <c:manualLayout>
          <c:xMode val="edge"/>
          <c:yMode val="edge"/>
          <c:x val="0.70067159613419527"/>
          <c:y val="0.13861117588187735"/>
          <c:w val="0.26246887494094945"/>
          <c:h val="0.17950129391821246"/>
        </c:manualLayout>
      </c:layout>
      <c:overlay val="0"/>
      <c:spPr>
        <a:solidFill>
          <a:srgbClr val="FFFFFF"/>
        </a:solidFill>
        <a:ln w="3175">
          <a:solidFill>
            <a:srgbClr val="000000"/>
          </a:solidFill>
          <a:prstDash val="solid"/>
        </a:ln>
      </c:spPr>
    </c:legend>
    <c:plotVisOnly val="1"/>
    <c:dispBlanksAs val="gap"/>
    <c:showDLblsOverMax val="0"/>
  </c:chart>
  <c:spPr>
    <a:noFill/>
    <a:ln w="3175">
      <a:noFill/>
      <a:prstDash val="solid"/>
    </a:ln>
  </c:spPr>
  <c:txPr>
    <a:bodyPr/>
    <a:lstStyle/>
    <a:p>
      <a:pPr>
        <a:defRPr sz="2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defRPr>
      </a:pPr>
      <a:endParaRPr lang="ja-JP"/>
    </a:p>
  </c:txPr>
  <c:printSettings>
    <c:headerFooter alignWithMargins="0"/>
    <c:pageMargins b="1" l="0.75" r="0.75" t="1" header="0.51200000000000001" footer="0.51200000000000001"/>
    <c:pageSetup orientation="landscape"/>
  </c:printSettings>
  <c:userShapes r:id="rId1"/>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ＭＳ Ｐゴシック"/>
                <a:ea typeface="ＭＳ Ｐゴシック"/>
                <a:cs typeface="ＭＳ Ｐゴシック"/>
              </a:defRPr>
            </a:pPr>
            <a:r>
              <a:rPr lang="ja-JP" altLang="en-US"/>
              <a:t>チャノコカクモンハマキ　発生消長</a:t>
            </a:r>
          </a:p>
        </c:rich>
      </c:tx>
      <c:layout>
        <c:manualLayout>
          <c:xMode val="edge"/>
          <c:yMode val="edge"/>
          <c:x val="0.34321372854914195"/>
          <c:y val="2.1069639022394927E-2"/>
        </c:manualLayout>
      </c:layout>
      <c:overlay val="0"/>
      <c:spPr>
        <a:noFill/>
        <a:ln w="25400">
          <a:noFill/>
        </a:ln>
      </c:spPr>
    </c:title>
    <c:autoTitleDeleted val="0"/>
    <c:plotArea>
      <c:layout>
        <c:manualLayout>
          <c:layoutTarget val="inner"/>
          <c:xMode val="edge"/>
          <c:yMode val="edge"/>
          <c:x val="0.11700468018720749"/>
          <c:y val="8.2658022690437608E-2"/>
          <c:w val="0.85335413416536665"/>
          <c:h val="0.8476499189627229"/>
        </c:manualLayout>
      </c:layout>
      <c:lineChart>
        <c:grouping val="standard"/>
        <c:varyColors val="0"/>
        <c:ser>
          <c:idx val="0"/>
          <c:order val="0"/>
          <c:tx>
            <c:strRef>
              <c:f>コカクモンSE!$S$6</c:f>
              <c:strCache>
                <c:ptCount val="1"/>
                <c:pt idx="0">
                  <c:v>1991年</c:v>
                </c:pt>
              </c:strCache>
            </c:strRef>
          </c:tx>
          <c:spPr>
            <a:ln w="12700">
              <a:solidFill>
                <a:srgbClr val="0000FF"/>
              </a:solidFill>
              <a:prstDash val="solid"/>
            </a:ln>
          </c:spPr>
          <c:marker>
            <c:symbol val="circle"/>
            <c:size val="6"/>
            <c:spPr>
              <a:solidFill>
                <a:srgbClr val="0000FF"/>
              </a:solidFill>
              <a:ln>
                <a:solidFill>
                  <a:srgbClr val="0000FF"/>
                </a:solidFill>
                <a:prstDash val="solid"/>
              </a:ln>
            </c:spPr>
          </c:marker>
          <c:cat>
            <c:strRef>
              <c:f>コカクモンSE!$B$14:$B$61</c:f>
              <c:strCache>
                <c:ptCount val="45"/>
                <c:pt idx="2">
                  <c:v>4月</c:v>
                </c:pt>
                <c:pt idx="8">
                  <c:v>5月</c:v>
                </c:pt>
                <c:pt idx="14">
                  <c:v>6月</c:v>
                </c:pt>
                <c:pt idx="20">
                  <c:v>7月</c:v>
                </c:pt>
                <c:pt idx="26">
                  <c:v>8月</c:v>
                </c:pt>
                <c:pt idx="32">
                  <c:v>9月</c:v>
                </c:pt>
                <c:pt idx="38">
                  <c:v>10月</c:v>
                </c:pt>
                <c:pt idx="44">
                  <c:v>11月</c:v>
                </c:pt>
              </c:strCache>
            </c:strRef>
          </c:cat>
          <c:val>
            <c:numRef>
              <c:f>コカクモンSE!$S$14:$S$61</c:f>
            </c:numRef>
          </c:val>
          <c:smooth val="0"/>
          <c:extLst>
            <c:ext xmlns:c16="http://schemas.microsoft.com/office/drawing/2014/chart" uri="{C3380CC4-5D6E-409C-BE32-E72D297353CC}">
              <c16:uniqueId val="{00000000-1F12-4C1E-A55A-F5FA8D580182}"/>
            </c:ext>
          </c:extLst>
        </c:ser>
        <c:ser>
          <c:idx val="1"/>
          <c:order val="1"/>
          <c:tx>
            <c:strRef>
              <c:f>コカクモンSE!$E$6</c:f>
              <c:strCache>
                <c:ptCount val="1"/>
                <c:pt idx="0">
                  <c:v>平年（過去10年）</c:v>
                </c:pt>
              </c:strCache>
            </c:strRef>
          </c:tx>
          <c:spPr>
            <a:ln w="12700">
              <a:solidFill>
                <a:srgbClr val="FF00FF"/>
              </a:solidFill>
              <a:prstDash val="solid"/>
            </a:ln>
          </c:spPr>
          <c:marker>
            <c:symbol val="triangle"/>
            <c:size val="6"/>
            <c:spPr>
              <a:solidFill>
                <a:srgbClr val="FF00FF"/>
              </a:solidFill>
              <a:ln>
                <a:solidFill>
                  <a:srgbClr val="FF00FF"/>
                </a:solidFill>
                <a:prstDash val="solid"/>
              </a:ln>
            </c:spPr>
          </c:marker>
          <c:cat>
            <c:strRef>
              <c:f>コカクモンSE!$B$14:$B$61</c:f>
              <c:strCache>
                <c:ptCount val="45"/>
                <c:pt idx="2">
                  <c:v>4月</c:v>
                </c:pt>
                <c:pt idx="8">
                  <c:v>5月</c:v>
                </c:pt>
                <c:pt idx="14">
                  <c:v>6月</c:v>
                </c:pt>
                <c:pt idx="20">
                  <c:v>7月</c:v>
                </c:pt>
                <c:pt idx="26">
                  <c:v>8月</c:v>
                </c:pt>
                <c:pt idx="32">
                  <c:v>9月</c:v>
                </c:pt>
                <c:pt idx="38">
                  <c:v>10月</c:v>
                </c:pt>
                <c:pt idx="44">
                  <c:v>11月</c:v>
                </c:pt>
              </c:strCache>
            </c:strRef>
          </c:cat>
          <c:val>
            <c:numRef>
              <c:f>コカクモンSE!$E$14:$E$61</c:f>
              <c:numCache>
                <c:formatCode>0.0;;0</c:formatCode>
                <c:ptCount val="48"/>
                <c:pt idx="0">
                  <c:v>60.227407407407405</c:v>
                </c:pt>
                <c:pt idx="1">
                  <c:v>83.135925925925932</c:v>
                </c:pt>
                <c:pt idx="2">
                  <c:v>288.90444444444449</c:v>
                </c:pt>
                <c:pt idx="3">
                  <c:v>344.17777777777775</c:v>
                </c:pt>
                <c:pt idx="4">
                  <c:v>462.83984126984132</c:v>
                </c:pt>
                <c:pt idx="5">
                  <c:v>317.05222222222227</c:v>
                </c:pt>
                <c:pt idx="6">
                  <c:v>419.61904761904759</c:v>
                </c:pt>
                <c:pt idx="7">
                  <c:v>211.25</c:v>
                </c:pt>
                <c:pt idx="8">
                  <c:v>90.611111111111114</c:v>
                </c:pt>
                <c:pt idx="9">
                  <c:v>22.444444444444443</c:v>
                </c:pt>
                <c:pt idx="10">
                  <c:v>3.1740740740740745</c:v>
                </c:pt>
                <c:pt idx="11">
                  <c:v>1.4592592592592593</c:v>
                </c:pt>
                <c:pt idx="12">
                  <c:v>24.515999999999998</c:v>
                </c:pt>
                <c:pt idx="13">
                  <c:v>102.76399999999998</c:v>
                </c:pt>
                <c:pt idx="14">
                  <c:v>289.66999999999996</c:v>
                </c:pt>
                <c:pt idx="15">
                  <c:v>562.20299999999997</c:v>
                </c:pt>
                <c:pt idx="16">
                  <c:v>376.45699999999999</c:v>
                </c:pt>
                <c:pt idx="17">
                  <c:v>209.68333333333334</c:v>
                </c:pt>
                <c:pt idx="18">
                  <c:v>72.423666666666662</c:v>
                </c:pt>
                <c:pt idx="19">
                  <c:v>20.164000000000001</c:v>
                </c:pt>
                <c:pt idx="20">
                  <c:v>5.6859999999999999</c:v>
                </c:pt>
                <c:pt idx="21">
                  <c:v>49.160333333333334</c:v>
                </c:pt>
                <c:pt idx="22">
                  <c:v>77.079333333333338</c:v>
                </c:pt>
                <c:pt idx="23">
                  <c:v>75.210000000000008</c:v>
                </c:pt>
                <c:pt idx="24">
                  <c:v>101.15842857142857</c:v>
                </c:pt>
                <c:pt idx="25">
                  <c:v>51.863761904761908</c:v>
                </c:pt>
                <c:pt idx="26">
                  <c:v>7.2023333333333328</c:v>
                </c:pt>
                <c:pt idx="27">
                  <c:v>4.2960000000000003</c:v>
                </c:pt>
                <c:pt idx="28">
                  <c:v>29.364666666666665</c:v>
                </c:pt>
                <c:pt idx="29">
                  <c:v>85.449333333333328</c:v>
                </c:pt>
                <c:pt idx="30">
                  <c:v>90.18542857142856</c:v>
                </c:pt>
                <c:pt idx="31">
                  <c:v>97.751571428571438</c:v>
                </c:pt>
                <c:pt idx="32">
                  <c:v>120.60666666666668</c:v>
                </c:pt>
                <c:pt idx="33">
                  <c:v>107.32233333333333</c:v>
                </c:pt>
                <c:pt idx="34">
                  <c:v>90.433999999999997</c:v>
                </c:pt>
                <c:pt idx="35">
                  <c:v>38.55652380952381</c:v>
                </c:pt>
                <c:pt idx="36">
                  <c:v>99.950476190476195</c:v>
                </c:pt>
                <c:pt idx="37">
                  <c:v>138.16714285714286</c:v>
                </c:pt>
                <c:pt idx="38">
                  <c:v>157.87285714285713</c:v>
                </c:pt>
                <c:pt idx="39">
                  <c:v>196.37666666666667</c:v>
                </c:pt>
                <c:pt idx="40">
                  <c:v>137.77333333333334</c:v>
                </c:pt>
                <c:pt idx="41">
                  <c:v>156.72999999999999</c:v>
                </c:pt>
                <c:pt idx="42">
                  <c:v>138.42708333333331</c:v>
                </c:pt>
                <c:pt idx="43">
                  <c:v>66.572916666666671</c:v>
                </c:pt>
                <c:pt idx="44">
                  <c:v>58.90625</c:v>
                </c:pt>
                <c:pt idx="45">
                  <c:v>43.552956349206347</c:v>
                </c:pt>
                <c:pt idx="46">
                  <c:v>19.170357142857142</c:v>
                </c:pt>
                <c:pt idx="47">
                  <c:v>13.175000000000001</c:v>
                </c:pt>
              </c:numCache>
            </c:numRef>
          </c:val>
          <c:smooth val="0"/>
          <c:extLst>
            <c:ext xmlns:c16="http://schemas.microsoft.com/office/drawing/2014/chart" uri="{C3380CC4-5D6E-409C-BE32-E72D297353CC}">
              <c16:uniqueId val="{00000001-1F12-4C1E-A55A-F5FA8D580182}"/>
            </c:ext>
          </c:extLst>
        </c:ser>
        <c:ser>
          <c:idx val="2"/>
          <c:order val="2"/>
          <c:tx>
            <c:strRef>
              <c:f>コカクモンSE!$F$6:$I$6</c:f>
              <c:strCache>
                <c:ptCount val="1"/>
                <c:pt idx="0">
                  <c:v>2021年 ～ 2025年 (5ヶ年平均)</c:v>
                </c:pt>
              </c:strCache>
            </c:strRef>
          </c:tx>
          <c:spPr>
            <a:ln w="12700">
              <a:solidFill>
                <a:srgbClr val="00FF00"/>
              </a:solidFill>
              <a:prstDash val="solid"/>
            </a:ln>
          </c:spPr>
          <c:marker>
            <c:symbol val="square"/>
            <c:size val="6"/>
            <c:spPr>
              <a:solidFill>
                <a:srgbClr val="00FF00"/>
              </a:solidFill>
              <a:ln>
                <a:solidFill>
                  <a:srgbClr val="00FF00"/>
                </a:solidFill>
                <a:prstDash val="solid"/>
              </a:ln>
            </c:spPr>
          </c:marker>
          <c:cat>
            <c:strRef>
              <c:f>コカクモンSE!$B$14:$B$61</c:f>
              <c:strCache>
                <c:ptCount val="45"/>
                <c:pt idx="2">
                  <c:v>4月</c:v>
                </c:pt>
                <c:pt idx="8">
                  <c:v>5月</c:v>
                </c:pt>
                <c:pt idx="14">
                  <c:v>6月</c:v>
                </c:pt>
                <c:pt idx="20">
                  <c:v>7月</c:v>
                </c:pt>
                <c:pt idx="26">
                  <c:v>8月</c:v>
                </c:pt>
                <c:pt idx="32">
                  <c:v>9月</c:v>
                </c:pt>
                <c:pt idx="38">
                  <c:v>10月</c:v>
                </c:pt>
                <c:pt idx="44">
                  <c:v>11月</c:v>
                </c:pt>
              </c:strCache>
            </c:strRef>
          </c:cat>
          <c:val>
            <c:numRef>
              <c:f>コカクモンSE!$H$14:$H$61</c:f>
              <c:numCache>
                <c:formatCode>0.0;;0</c:formatCode>
                <c:ptCount val="4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numCache>
            </c:numRef>
          </c:val>
          <c:smooth val="0"/>
          <c:extLst>
            <c:ext xmlns:c16="http://schemas.microsoft.com/office/drawing/2014/chart" uri="{C3380CC4-5D6E-409C-BE32-E72D297353CC}">
              <c16:uniqueId val="{00000002-1F12-4C1E-A55A-F5FA8D580182}"/>
            </c:ext>
          </c:extLst>
        </c:ser>
        <c:dLbls>
          <c:showLegendKey val="0"/>
          <c:showVal val="0"/>
          <c:showCatName val="0"/>
          <c:showSerName val="0"/>
          <c:showPercent val="0"/>
          <c:showBubbleSize val="0"/>
        </c:dLbls>
        <c:marker val="1"/>
        <c:smooth val="0"/>
        <c:axId val="878270688"/>
        <c:axId val="878271080"/>
      </c:lineChart>
      <c:catAx>
        <c:axId val="878270688"/>
        <c:scaling>
          <c:orientation val="minMax"/>
        </c:scaling>
        <c:delete val="0"/>
        <c:axPos val="b"/>
        <c:majorGridlines>
          <c:spPr>
            <a:ln w="3175">
              <a:solidFill>
                <a:srgbClr val="000000"/>
              </a:solidFill>
              <a:prstDash val="solid"/>
            </a:ln>
          </c:spPr>
        </c:majorGridlines>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78271080"/>
        <c:crosses val="autoZero"/>
        <c:auto val="1"/>
        <c:lblAlgn val="ctr"/>
        <c:lblOffset val="100"/>
        <c:tickLblSkip val="2"/>
        <c:tickMarkSkip val="6"/>
        <c:noMultiLvlLbl val="0"/>
      </c:catAx>
      <c:valAx>
        <c:axId val="878271080"/>
        <c:scaling>
          <c:orientation val="minMax"/>
          <c:min val="0"/>
        </c:scaling>
        <c:delete val="0"/>
        <c:axPos val="l"/>
        <c:majorGridlines>
          <c:spPr>
            <a:ln w="3175">
              <a:solidFill>
                <a:srgbClr val="000000"/>
              </a:solidFill>
              <a:prstDash val="solid"/>
            </a:ln>
          </c:spPr>
        </c:majorGridlines>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誘殺数（匹）</a:t>
                </a:r>
              </a:p>
            </c:rich>
          </c:tx>
          <c:layout>
            <c:manualLayout>
              <c:xMode val="edge"/>
              <c:yMode val="edge"/>
              <c:x val="2.3400936037441498E-2"/>
              <c:y val="0.42949756280464946"/>
            </c:manualLayout>
          </c:layout>
          <c:overlay val="0"/>
          <c:spPr>
            <a:noFill/>
            <a:ln w="25400">
              <a:noFill/>
            </a:ln>
          </c:spPr>
        </c:title>
        <c:numFmt formatCode="0.0;;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78270688"/>
        <c:crosses val="autoZero"/>
        <c:crossBetween val="between"/>
        <c:majorUnit val="50"/>
        <c:minorUnit val="50"/>
      </c:valAx>
      <c:spPr>
        <a:noFill/>
        <a:ln w="12700">
          <a:solidFill>
            <a:srgbClr val="808080"/>
          </a:solidFill>
          <a:prstDash val="solid"/>
        </a:ln>
      </c:spPr>
    </c:plotArea>
    <c:legend>
      <c:legendPos val="r"/>
      <c:layout>
        <c:manualLayout>
          <c:xMode val="edge"/>
          <c:yMode val="edge"/>
          <c:x val="0.59594383775351012"/>
          <c:y val="0.16693680335412617"/>
          <c:w val="0.36037441497659906"/>
          <c:h val="0.10696918566997307"/>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6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orientation="landscape"/>
  </c:printSettings>
  <c:userShapes r:id="rId1"/>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ＭＳ Ｐゴシック"/>
                <a:ea typeface="ＭＳ Ｐゴシック"/>
                <a:cs typeface="ＭＳ Ｐゴシック"/>
              </a:defRPr>
            </a:pPr>
            <a:r>
              <a:rPr lang="ja-JP" altLang="en-US"/>
              <a:t>チャノコカクモンハマキ　発生消長</a:t>
            </a:r>
          </a:p>
        </c:rich>
      </c:tx>
      <c:layout>
        <c:manualLayout>
          <c:xMode val="edge"/>
          <c:yMode val="edge"/>
          <c:x val="0.34321372854914195"/>
          <c:y val="2.1069639022394927E-2"/>
        </c:manualLayout>
      </c:layout>
      <c:overlay val="0"/>
      <c:spPr>
        <a:noFill/>
        <a:ln w="25400">
          <a:noFill/>
        </a:ln>
      </c:spPr>
    </c:title>
    <c:autoTitleDeleted val="0"/>
    <c:plotArea>
      <c:layout>
        <c:manualLayout>
          <c:layoutTarget val="inner"/>
          <c:xMode val="edge"/>
          <c:yMode val="edge"/>
          <c:x val="0.11700468018720749"/>
          <c:y val="8.2658022690437608E-2"/>
          <c:w val="0.85335413416536665"/>
          <c:h val="0.8476499189627229"/>
        </c:manualLayout>
      </c:layout>
      <c:lineChart>
        <c:grouping val="standard"/>
        <c:varyColors val="0"/>
        <c:ser>
          <c:idx val="0"/>
          <c:order val="0"/>
          <c:tx>
            <c:strRef>
              <c:f>コカクモンSE!$N$6</c:f>
              <c:strCache>
                <c:ptCount val="1"/>
                <c:pt idx="0">
                  <c:v>1986年</c:v>
                </c:pt>
              </c:strCache>
            </c:strRef>
          </c:tx>
          <c:spPr>
            <a:ln w="12700">
              <a:solidFill>
                <a:srgbClr val="0000FF"/>
              </a:solidFill>
              <a:prstDash val="solid"/>
            </a:ln>
          </c:spPr>
          <c:marker>
            <c:symbol val="circle"/>
            <c:size val="6"/>
            <c:spPr>
              <a:solidFill>
                <a:srgbClr val="0000FF"/>
              </a:solidFill>
              <a:ln>
                <a:solidFill>
                  <a:srgbClr val="0000FF"/>
                </a:solidFill>
                <a:prstDash val="solid"/>
              </a:ln>
            </c:spPr>
          </c:marker>
          <c:cat>
            <c:strRef>
              <c:f>コカクモンSE!$B$14:$B$61</c:f>
              <c:strCache>
                <c:ptCount val="45"/>
                <c:pt idx="2">
                  <c:v>4月</c:v>
                </c:pt>
                <c:pt idx="8">
                  <c:v>5月</c:v>
                </c:pt>
                <c:pt idx="14">
                  <c:v>6月</c:v>
                </c:pt>
                <c:pt idx="20">
                  <c:v>7月</c:v>
                </c:pt>
                <c:pt idx="26">
                  <c:v>8月</c:v>
                </c:pt>
                <c:pt idx="32">
                  <c:v>9月</c:v>
                </c:pt>
                <c:pt idx="38">
                  <c:v>10月</c:v>
                </c:pt>
                <c:pt idx="44">
                  <c:v>11月</c:v>
                </c:pt>
              </c:strCache>
            </c:strRef>
          </c:cat>
          <c:val>
            <c:numRef>
              <c:f>コカクモンSE!$O$14:$O$61</c:f>
            </c:numRef>
          </c:val>
          <c:smooth val="0"/>
          <c:extLst>
            <c:ext xmlns:c16="http://schemas.microsoft.com/office/drawing/2014/chart" uri="{C3380CC4-5D6E-409C-BE32-E72D297353CC}">
              <c16:uniqueId val="{00000000-C680-4743-A0EF-79FC63739D7B}"/>
            </c:ext>
          </c:extLst>
        </c:ser>
        <c:ser>
          <c:idx val="1"/>
          <c:order val="1"/>
          <c:tx>
            <c:strRef>
              <c:f>コカクモンSE!$E$6</c:f>
              <c:strCache>
                <c:ptCount val="1"/>
                <c:pt idx="0">
                  <c:v>平年（過去10年）</c:v>
                </c:pt>
              </c:strCache>
            </c:strRef>
          </c:tx>
          <c:spPr>
            <a:ln w="12700">
              <a:solidFill>
                <a:srgbClr val="FF00FF"/>
              </a:solidFill>
              <a:prstDash val="solid"/>
            </a:ln>
          </c:spPr>
          <c:marker>
            <c:symbol val="triangle"/>
            <c:size val="6"/>
            <c:spPr>
              <a:solidFill>
                <a:srgbClr val="FF00FF"/>
              </a:solidFill>
              <a:ln>
                <a:solidFill>
                  <a:srgbClr val="FF00FF"/>
                </a:solidFill>
                <a:prstDash val="solid"/>
              </a:ln>
            </c:spPr>
          </c:marker>
          <c:cat>
            <c:strRef>
              <c:f>コカクモンSE!$B$14:$B$61</c:f>
              <c:strCache>
                <c:ptCount val="45"/>
                <c:pt idx="2">
                  <c:v>4月</c:v>
                </c:pt>
                <c:pt idx="8">
                  <c:v>5月</c:v>
                </c:pt>
                <c:pt idx="14">
                  <c:v>6月</c:v>
                </c:pt>
                <c:pt idx="20">
                  <c:v>7月</c:v>
                </c:pt>
                <c:pt idx="26">
                  <c:v>8月</c:v>
                </c:pt>
                <c:pt idx="32">
                  <c:v>9月</c:v>
                </c:pt>
                <c:pt idx="38">
                  <c:v>10月</c:v>
                </c:pt>
                <c:pt idx="44">
                  <c:v>11月</c:v>
                </c:pt>
              </c:strCache>
            </c:strRef>
          </c:cat>
          <c:val>
            <c:numRef>
              <c:f>コカクモンSE!$E$14:$E$61</c:f>
              <c:numCache>
                <c:formatCode>0.0;;0</c:formatCode>
                <c:ptCount val="48"/>
                <c:pt idx="0">
                  <c:v>60.227407407407405</c:v>
                </c:pt>
                <c:pt idx="1">
                  <c:v>83.135925925925932</c:v>
                </c:pt>
                <c:pt idx="2">
                  <c:v>288.90444444444449</c:v>
                </c:pt>
                <c:pt idx="3">
                  <c:v>344.17777777777775</c:v>
                </c:pt>
                <c:pt idx="4">
                  <c:v>462.83984126984132</c:v>
                </c:pt>
                <c:pt idx="5">
                  <c:v>317.05222222222227</c:v>
                </c:pt>
                <c:pt idx="6">
                  <c:v>419.61904761904759</c:v>
                </c:pt>
                <c:pt idx="7">
                  <c:v>211.25</c:v>
                </c:pt>
                <c:pt idx="8">
                  <c:v>90.611111111111114</c:v>
                </c:pt>
                <c:pt idx="9">
                  <c:v>22.444444444444443</c:v>
                </c:pt>
                <c:pt idx="10">
                  <c:v>3.1740740740740745</c:v>
                </c:pt>
                <c:pt idx="11">
                  <c:v>1.4592592592592593</c:v>
                </c:pt>
                <c:pt idx="12">
                  <c:v>24.515999999999998</c:v>
                </c:pt>
                <c:pt idx="13">
                  <c:v>102.76399999999998</c:v>
                </c:pt>
                <c:pt idx="14">
                  <c:v>289.66999999999996</c:v>
                </c:pt>
                <c:pt idx="15">
                  <c:v>562.20299999999997</c:v>
                </c:pt>
                <c:pt idx="16">
                  <c:v>376.45699999999999</c:v>
                </c:pt>
                <c:pt idx="17">
                  <c:v>209.68333333333334</c:v>
                </c:pt>
                <c:pt idx="18">
                  <c:v>72.423666666666662</c:v>
                </c:pt>
                <c:pt idx="19">
                  <c:v>20.164000000000001</c:v>
                </c:pt>
                <c:pt idx="20">
                  <c:v>5.6859999999999999</c:v>
                </c:pt>
                <c:pt idx="21">
                  <c:v>49.160333333333334</c:v>
                </c:pt>
                <c:pt idx="22">
                  <c:v>77.079333333333338</c:v>
                </c:pt>
                <c:pt idx="23">
                  <c:v>75.210000000000008</c:v>
                </c:pt>
                <c:pt idx="24">
                  <c:v>101.15842857142857</c:v>
                </c:pt>
                <c:pt idx="25">
                  <c:v>51.863761904761908</c:v>
                </c:pt>
                <c:pt idx="26">
                  <c:v>7.2023333333333328</c:v>
                </c:pt>
                <c:pt idx="27">
                  <c:v>4.2960000000000003</c:v>
                </c:pt>
                <c:pt idx="28">
                  <c:v>29.364666666666665</c:v>
                </c:pt>
                <c:pt idx="29">
                  <c:v>85.449333333333328</c:v>
                </c:pt>
                <c:pt idx="30">
                  <c:v>90.18542857142856</c:v>
                </c:pt>
                <c:pt idx="31">
                  <c:v>97.751571428571438</c:v>
                </c:pt>
                <c:pt idx="32">
                  <c:v>120.60666666666668</c:v>
                </c:pt>
                <c:pt idx="33">
                  <c:v>107.32233333333333</c:v>
                </c:pt>
                <c:pt idx="34">
                  <c:v>90.433999999999997</c:v>
                </c:pt>
                <c:pt idx="35">
                  <c:v>38.55652380952381</c:v>
                </c:pt>
                <c:pt idx="36">
                  <c:v>99.950476190476195</c:v>
                </c:pt>
                <c:pt idx="37">
                  <c:v>138.16714285714286</c:v>
                </c:pt>
                <c:pt idx="38">
                  <c:v>157.87285714285713</c:v>
                </c:pt>
                <c:pt idx="39">
                  <c:v>196.37666666666667</c:v>
                </c:pt>
                <c:pt idx="40">
                  <c:v>137.77333333333334</c:v>
                </c:pt>
                <c:pt idx="41">
                  <c:v>156.72999999999999</c:v>
                </c:pt>
                <c:pt idx="42">
                  <c:v>138.42708333333331</c:v>
                </c:pt>
                <c:pt idx="43">
                  <c:v>66.572916666666671</c:v>
                </c:pt>
                <c:pt idx="44">
                  <c:v>58.90625</c:v>
                </c:pt>
                <c:pt idx="45">
                  <c:v>43.552956349206347</c:v>
                </c:pt>
                <c:pt idx="46">
                  <c:v>19.170357142857142</c:v>
                </c:pt>
                <c:pt idx="47">
                  <c:v>13.175000000000001</c:v>
                </c:pt>
              </c:numCache>
            </c:numRef>
          </c:val>
          <c:smooth val="0"/>
          <c:extLst>
            <c:ext xmlns:c16="http://schemas.microsoft.com/office/drawing/2014/chart" uri="{C3380CC4-5D6E-409C-BE32-E72D297353CC}">
              <c16:uniqueId val="{00000001-C680-4743-A0EF-79FC63739D7B}"/>
            </c:ext>
          </c:extLst>
        </c:ser>
        <c:ser>
          <c:idx val="2"/>
          <c:order val="2"/>
          <c:tx>
            <c:strRef>
              <c:f>コカクモンSE!$F$6:$I$6</c:f>
              <c:strCache>
                <c:ptCount val="1"/>
                <c:pt idx="0">
                  <c:v>2021年 ～ 2025年 (5ヶ年平均)</c:v>
                </c:pt>
              </c:strCache>
            </c:strRef>
          </c:tx>
          <c:spPr>
            <a:ln w="12700">
              <a:solidFill>
                <a:srgbClr val="00FF00"/>
              </a:solidFill>
              <a:prstDash val="solid"/>
            </a:ln>
          </c:spPr>
          <c:marker>
            <c:symbol val="square"/>
            <c:size val="6"/>
            <c:spPr>
              <a:solidFill>
                <a:srgbClr val="00FF00"/>
              </a:solidFill>
              <a:ln>
                <a:solidFill>
                  <a:srgbClr val="00FF00"/>
                </a:solidFill>
                <a:prstDash val="solid"/>
              </a:ln>
            </c:spPr>
          </c:marker>
          <c:cat>
            <c:strRef>
              <c:f>コカクモンSE!$B$14:$B$61</c:f>
              <c:strCache>
                <c:ptCount val="45"/>
                <c:pt idx="2">
                  <c:v>4月</c:v>
                </c:pt>
                <c:pt idx="8">
                  <c:v>5月</c:v>
                </c:pt>
                <c:pt idx="14">
                  <c:v>6月</c:v>
                </c:pt>
                <c:pt idx="20">
                  <c:v>7月</c:v>
                </c:pt>
                <c:pt idx="26">
                  <c:v>8月</c:v>
                </c:pt>
                <c:pt idx="32">
                  <c:v>9月</c:v>
                </c:pt>
                <c:pt idx="38">
                  <c:v>10月</c:v>
                </c:pt>
                <c:pt idx="44">
                  <c:v>11月</c:v>
                </c:pt>
              </c:strCache>
            </c:strRef>
          </c:cat>
          <c:val>
            <c:numRef>
              <c:f>コカクモンSE!$H$14:$H$61</c:f>
              <c:numCache>
                <c:formatCode>0.0;;0</c:formatCode>
                <c:ptCount val="4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numCache>
            </c:numRef>
          </c:val>
          <c:smooth val="0"/>
          <c:extLst>
            <c:ext xmlns:c16="http://schemas.microsoft.com/office/drawing/2014/chart" uri="{C3380CC4-5D6E-409C-BE32-E72D297353CC}">
              <c16:uniqueId val="{00000002-C680-4743-A0EF-79FC63739D7B}"/>
            </c:ext>
          </c:extLst>
        </c:ser>
        <c:dLbls>
          <c:showLegendKey val="0"/>
          <c:showVal val="0"/>
          <c:showCatName val="0"/>
          <c:showSerName val="0"/>
          <c:showPercent val="0"/>
          <c:showBubbleSize val="0"/>
        </c:dLbls>
        <c:marker val="1"/>
        <c:smooth val="0"/>
        <c:axId val="804109808"/>
        <c:axId val="804113336"/>
      </c:lineChart>
      <c:catAx>
        <c:axId val="804109808"/>
        <c:scaling>
          <c:orientation val="minMax"/>
        </c:scaling>
        <c:delete val="0"/>
        <c:axPos val="b"/>
        <c:majorGridlines>
          <c:spPr>
            <a:ln w="3175">
              <a:solidFill>
                <a:srgbClr val="000000"/>
              </a:solidFill>
              <a:prstDash val="solid"/>
            </a:ln>
          </c:spPr>
        </c:majorGridlines>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04113336"/>
        <c:crosses val="autoZero"/>
        <c:auto val="1"/>
        <c:lblAlgn val="ctr"/>
        <c:lblOffset val="100"/>
        <c:tickLblSkip val="2"/>
        <c:tickMarkSkip val="6"/>
        <c:noMultiLvlLbl val="0"/>
      </c:catAx>
      <c:valAx>
        <c:axId val="804113336"/>
        <c:scaling>
          <c:orientation val="minMax"/>
          <c:min val="0"/>
        </c:scaling>
        <c:delete val="0"/>
        <c:axPos val="l"/>
        <c:majorGridlines>
          <c:spPr>
            <a:ln w="3175">
              <a:solidFill>
                <a:srgbClr val="000000"/>
              </a:solidFill>
              <a:prstDash val="solid"/>
            </a:ln>
          </c:spPr>
        </c:majorGridlines>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誘殺数（匹）</a:t>
                </a:r>
              </a:p>
            </c:rich>
          </c:tx>
          <c:layout>
            <c:manualLayout>
              <c:xMode val="edge"/>
              <c:yMode val="edge"/>
              <c:x val="2.3400936037441498E-2"/>
              <c:y val="0.42949756280464946"/>
            </c:manualLayout>
          </c:layout>
          <c:overlay val="0"/>
          <c:spPr>
            <a:noFill/>
            <a:ln w="25400">
              <a:noFill/>
            </a:ln>
          </c:spPr>
        </c:title>
        <c:numFmt formatCode="0.0;;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04109808"/>
        <c:crosses val="autoZero"/>
        <c:crossBetween val="between"/>
        <c:majorUnit val="50"/>
        <c:minorUnit val="50"/>
      </c:valAx>
      <c:spPr>
        <a:noFill/>
        <a:ln w="12700">
          <a:solidFill>
            <a:srgbClr val="808080"/>
          </a:solidFill>
          <a:prstDash val="solid"/>
        </a:ln>
      </c:spPr>
    </c:plotArea>
    <c:legend>
      <c:legendPos val="r"/>
      <c:layout>
        <c:manualLayout>
          <c:xMode val="edge"/>
          <c:yMode val="edge"/>
          <c:x val="0.59594383775351012"/>
          <c:y val="0.16693680335412617"/>
          <c:w val="0.36037441497659906"/>
          <c:h val="0.10696918566997307"/>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6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orientation="landscape"/>
  </c:printSettings>
  <c:userShapes r:id="rId1"/>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ＭＳ Ｐゴシック"/>
                <a:ea typeface="ＭＳ Ｐゴシック"/>
                <a:cs typeface="ＭＳ Ｐゴシック"/>
              </a:defRPr>
            </a:pPr>
            <a:r>
              <a:rPr lang="ja-JP" altLang="en-US"/>
              <a:t>チャノコカクモンハマキ　発生消長</a:t>
            </a:r>
          </a:p>
        </c:rich>
      </c:tx>
      <c:layout>
        <c:manualLayout>
          <c:xMode val="edge"/>
          <c:yMode val="edge"/>
          <c:x val="0.34321372854914195"/>
          <c:y val="2.1069639022394927E-2"/>
        </c:manualLayout>
      </c:layout>
      <c:overlay val="0"/>
      <c:spPr>
        <a:noFill/>
        <a:ln w="25400">
          <a:noFill/>
        </a:ln>
      </c:spPr>
    </c:title>
    <c:autoTitleDeleted val="0"/>
    <c:plotArea>
      <c:layout>
        <c:manualLayout>
          <c:layoutTarget val="inner"/>
          <c:xMode val="edge"/>
          <c:yMode val="edge"/>
          <c:x val="0.11700468018720749"/>
          <c:y val="8.2658022690437608E-2"/>
          <c:w val="0.85335413416536665"/>
          <c:h val="0.8476499189627229"/>
        </c:manualLayout>
      </c:layout>
      <c:lineChart>
        <c:grouping val="standard"/>
        <c:varyColors val="0"/>
        <c:ser>
          <c:idx val="0"/>
          <c:order val="0"/>
          <c:tx>
            <c:strRef>
              <c:f>コカクモンSE!$R$6</c:f>
              <c:strCache>
                <c:ptCount val="1"/>
                <c:pt idx="0">
                  <c:v>1990年</c:v>
                </c:pt>
              </c:strCache>
            </c:strRef>
          </c:tx>
          <c:spPr>
            <a:ln w="12700">
              <a:solidFill>
                <a:srgbClr val="0000FF"/>
              </a:solidFill>
              <a:prstDash val="solid"/>
            </a:ln>
          </c:spPr>
          <c:marker>
            <c:symbol val="circle"/>
            <c:size val="6"/>
            <c:spPr>
              <a:solidFill>
                <a:srgbClr val="0000FF"/>
              </a:solidFill>
              <a:ln>
                <a:solidFill>
                  <a:srgbClr val="0000FF"/>
                </a:solidFill>
                <a:prstDash val="solid"/>
              </a:ln>
            </c:spPr>
          </c:marker>
          <c:cat>
            <c:strRef>
              <c:f>コカクモンSE!$B$14:$B$61</c:f>
              <c:strCache>
                <c:ptCount val="45"/>
                <c:pt idx="2">
                  <c:v>4月</c:v>
                </c:pt>
                <c:pt idx="8">
                  <c:v>5月</c:v>
                </c:pt>
                <c:pt idx="14">
                  <c:v>6月</c:v>
                </c:pt>
                <c:pt idx="20">
                  <c:v>7月</c:v>
                </c:pt>
                <c:pt idx="26">
                  <c:v>8月</c:v>
                </c:pt>
                <c:pt idx="32">
                  <c:v>9月</c:v>
                </c:pt>
                <c:pt idx="38">
                  <c:v>10月</c:v>
                </c:pt>
                <c:pt idx="44">
                  <c:v>11月</c:v>
                </c:pt>
              </c:strCache>
            </c:strRef>
          </c:cat>
          <c:val>
            <c:numRef>
              <c:f>コカクモンSE!$R$14:$R$61</c:f>
            </c:numRef>
          </c:val>
          <c:smooth val="0"/>
          <c:extLst>
            <c:ext xmlns:c16="http://schemas.microsoft.com/office/drawing/2014/chart" uri="{C3380CC4-5D6E-409C-BE32-E72D297353CC}">
              <c16:uniqueId val="{00000000-6E72-4094-A805-A6399E95DB3B}"/>
            </c:ext>
          </c:extLst>
        </c:ser>
        <c:ser>
          <c:idx val="1"/>
          <c:order val="1"/>
          <c:tx>
            <c:strRef>
              <c:f>コカクモンSE!$E$6</c:f>
              <c:strCache>
                <c:ptCount val="1"/>
                <c:pt idx="0">
                  <c:v>平年（過去10年）</c:v>
                </c:pt>
              </c:strCache>
            </c:strRef>
          </c:tx>
          <c:spPr>
            <a:ln w="12700">
              <a:solidFill>
                <a:srgbClr val="FF00FF"/>
              </a:solidFill>
              <a:prstDash val="solid"/>
            </a:ln>
          </c:spPr>
          <c:marker>
            <c:symbol val="triangle"/>
            <c:size val="6"/>
            <c:spPr>
              <a:solidFill>
                <a:srgbClr val="FF00FF"/>
              </a:solidFill>
              <a:ln>
                <a:solidFill>
                  <a:srgbClr val="FF00FF"/>
                </a:solidFill>
                <a:prstDash val="solid"/>
              </a:ln>
            </c:spPr>
          </c:marker>
          <c:cat>
            <c:strRef>
              <c:f>コカクモンSE!$B$14:$B$61</c:f>
              <c:strCache>
                <c:ptCount val="45"/>
                <c:pt idx="2">
                  <c:v>4月</c:v>
                </c:pt>
                <c:pt idx="8">
                  <c:v>5月</c:v>
                </c:pt>
                <c:pt idx="14">
                  <c:v>6月</c:v>
                </c:pt>
                <c:pt idx="20">
                  <c:v>7月</c:v>
                </c:pt>
                <c:pt idx="26">
                  <c:v>8月</c:v>
                </c:pt>
                <c:pt idx="32">
                  <c:v>9月</c:v>
                </c:pt>
                <c:pt idx="38">
                  <c:v>10月</c:v>
                </c:pt>
                <c:pt idx="44">
                  <c:v>11月</c:v>
                </c:pt>
              </c:strCache>
            </c:strRef>
          </c:cat>
          <c:val>
            <c:numRef>
              <c:f>コカクモンSE!$E$14:$E$61</c:f>
              <c:numCache>
                <c:formatCode>0.0;;0</c:formatCode>
                <c:ptCount val="48"/>
                <c:pt idx="0">
                  <c:v>60.227407407407405</c:v>
                </c:pt>
                <c:pt idx="1">
                  <c:v>83.135925925925932</c:v>
                </c:pt>
                <c:pt idx="2">
                  <c:v>288.90444444444449</c:v>
                </c:pt>
                <c:pt idx="3">
                  <c:v>344.17777777777775</c:v>
                </c:pt>
                <c:pt idx="4">
                  <c:v>462.83984126984132</c:v>
                </c:pt>
                <c:pt idx="5">
                  <c:v>317.05222222222227</c:v>
                </c:pt>
                <c:pt idx="6">
                  <c:v>419.61904761904759</c:v>
                </c:pt>
                <c:pt idx="7">
                  <c:v>211.25</c:v>
                </c:pt>
                <c:pt idx="8">
                  <c:v>90.611111111111114</c:v>
                </c:pt>
                <c:pt idx="9">
                  <c:v>22.444444444444443</c:v>
                </c:pt>
                <c:pt idx="10">
                  <c:v>3.1740740740740745</c:v>
                </c:pt>
                <c:pt idx="11">
                  <c:v>1.4592592592592593</c:v>
                </c:pt>
                <c:pt idx="12">
                  <c:v>24.515999999999998</c:v>
                </c:pt>
                <c:pt idx="13">
                  <c:v>102.76399999999998</c:v>
                </c:pt>
                <c:pt idx="14">
                  <c:v>289.66999999999996</c:v>
                </c:pt>
                <c:pt idx="15">
                  <c:v>562.20299999999997</c:v>
                </c:pt>
                <c:pt idx="16">
                  <c:v>376.45699999999999</c:v>
                </c:pt>
                <c:pt idx="17">
                  <c:v>209.68333333333334</c:v>
                </c:pt>
                <c:pt idx="18">
                  <c:v>72.423666666666662</c:v>
                </c:pt>
                <c:pt idx="19">
                  <c:v>20.164000000000001</c:v>
                </c:pt>
                <c:pt idx="20">
                  <c:v>5.6859999999999999</c:v>
                </c:pt>
                <c:pt idx="21">
                  <c:v>49.160333333333334</c:v>
                </c:pt>
                <c:pt idx="22">
                  <c:v>77.079333333333338</c:v>
                </c:pt>
                <c:pt idx="23">
                  <c:v>75.210000000000008</c:v>
                </c:pt>
                <c:pt idx="24">
                  <c:v>101.15842857142857</c:v>
                </c:pt>
                <c:pt idx="25">
                  <c:v>51.863761904761908</c:v>
                </c:pt>
                <c:pt idx="26">
                  <c:v>7.2023333333333328</c:v>
                </c:pt>
                <c:pt idx="27">
                  <c:v>4.2960000000000003</c:v>
                </c:pt>
                <c:pt idx="28">
                  <c:v>29.364666666666665</c:v>
                </c:pt>
                <c:pt idx="29">
                  <c:v>85.449333333333328</c:v>
                </c:pt>
                <c:pt idx="30">
                  <c:v>90.18542857142856</c:v>
                </c:pt>
                <c:pt idx="31">
                  <c:v>97.751571428571438</c:v>
                </c:pt>
                <c:pt idx="32">
                  <c:v>120.60666666666668</c:v>
                </c:pt>
                <c:pt idx="33">
                  <c:v>107.32233333333333</c:v>
                </c:pt>
                <c:pt idx="34">
                  <c:v>90.433999999999997</c:v>
                </c:pt>
                <c:pt idx="35">
                  <c:v>38.55652380952381</c:v>
                </c:pt>
                <c:pt idx="36">
                  <c:v>99.950476190476195</c:v>
                </c:pt>
                <c:pt idx="37">
                  <c:v>138.16714285714286</c:v>
                </c:pt>
                <c:pt idx="38">
                  <c:v>157.87285714285713</c:v>
                </c:pt>
                <c:pt idx="39">
                  <c:v>196.37666666666667</c:v>
                </c:pt>
                <c:pt idx="40">
                  <c:v>137.77333333333334</c:v>
                </c:pt>
                <c:pt idx="41">
                  <c:v>156.72999999999999</c:v>
                </c:pt>
                <c:pt idx="42">
                  <c:v>138.42708333333331</c:v>
                </c:pt>
                <c:pt idx="43">
                  <c:v>66.572916666666671</c:v>
                </c:pt>
                <c:pt idx="44">
                  <c:v>58.90625</c:v>
                </c:pt>
                <c:pt idx="45">
                  <c:v>43.552956349206347</c:v>
                </c:pt>
                <c:pt idx="46">
                  <c:v>19.170357142857142</c:v>
                </c:pt>
                <c:pt idx="47">
                  <c:v>13.175000000000001</c:v>
                </c:pt>
              </c:numCache>
            </c:numRef>
          </c:val>
          <c:smooth val="0"/>
          <c:extLst>
            <c:ext xmlns:c16="http://schemas.microsoft.com/office/drawing/2014/chart" uri="{C3380CC4-5D6E-409C-BE32-E72D297353CC}">
              <c16:uniqueId val="{00000001-6E72-4094-A805-A6399E95DB3B}"/>
            </c:ext>
          </c:extLst>
        </c:ser>
        <c:ser>
          <c:idx val="2"/>
          <c:order val="2"/>
          <c:tx>
            <c:strRef>
              <c:f>コカクモンSE!$F$6:$I$6</c:f>
              <c:strCache>
                <c:ptCount val="1"/>
                <c:pt idx="0">
                  <c:v>2021年 ～ 2025年 (5ヶ年平均)</c:v>
                </c:pt>
              </c:strCache>
            </c:strRef>
          </c:tx>
          <c:spPr>
            <a:ln w="12700">
              <a:solidFill>
                <a:srgbClr val="00FF00"/>
              </a:solidFill>
              <a:prstDash val="solid"/>
            </a:ln>
          </c:spPr>
          <c:marker>
            <c:symbol val="square"/>
            <c:size val="6"/>
            <c:spPr>
              <a:solidFill>
                <a:srgbClr val="00FF00"/>
              </a:solidFill>
              <a:ln>
                <a:solidFill>
                  <a:srgbClr val="00FF00"/>
                </a:solidFill>
                <a:prstDash val="solid"/>
              </a:ln>
            </c:spPr>
          </c:marker>
          <c:cat>
            <c:strRef>
              <c:f>コカクモンSE!$B$14:$B$61</c:f>
              <c:strCache>
                <c:ptCount val="45"/>
                <c:pt idx="2">
                  <c:v>4月</c:v>
                </c:pt>
                <c:pt idx="8">
                  <c:v>5月</c:v>
                </c:pt>
                <c:pt idx="14">
                  <c:v>6月</c:v>
                </c:pt>
                <c:pt idx="20">
                  <c:v>7月</c:v>
                </c:pt>
                <c:pt idx="26">
                  <c:v>8月</c:v>
                </c:pt>
                <c:pt idx="32">
                  <c:v>9月</c:v>
                </c:pt>
                <c:pt idx="38">
                  <c:v>10月</c:v>
                </c:pt>
                <c:pt idx="44">
                  <c:v>11月</c:v>
                </c:pt>
              </c:strCache>
            </c:strRef>
          </c:cat>
          <c:val>
            <c:numRef>
              <c:f>コカクモンSE!$H$14:$H$61</c:f>
              <c:numCache>
                <c:formatCode>0.0;;0</c:formatCode>
                <c:ptCount val="4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numCache>
            </c:numRef>
          </c:val>
          <c:smooth val="0"/>
          <c:extLst>
            <c:ext xmlns:c16="http://schemas.microsoft.com/office/drawing/2014/chart" uri="{C3380CC4-5D6E-409C-BE32-E72D297353CC}">
              <c16:uniqueId val="{00000002-6E72-4094-A805-A6399E95DB3B}"/>
            </c:ext>
          </c:extLst>
        </c:ser>
        <c:dLbls>
          <c:showLegendKey val="0"/>
          <c:showVal val="0"/>
          <c:showCatName val="0"/>
          <c:showSerName val="0"/>
          <c:showPercent val="0"/>
          <c:showBubbleSize val="0"/>
        </c:dLbls>
        <c:marker val="1"/>
        <c:smooth val="0"/>
        <c:axId val="804103144"/>
        <c:axId val="804103536"/>
      </c:lineChart>
      <c:catAx>
        <c:axId val="804103144"/>
        <c:scaling>
          <c:orientation val="minMax"/>
        </c:scaling>
        <c:delete val="0"/>
        <c:axPos val="b"/>
        <c:majorGridlines>
          <c:spPr>
            <a:ln w="3175">
              <a:solidFill>
                <a:srgbClr val="000000"/>
              </a:solidFill>
              <a:prstDash val="solid"/>
            </a:ln>
          </c:spPr>
        </c:majorGridlines>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04103536"/>
        <c:crosses val="autoZero"/>
        <c:auto val="1"/>
        <c:lblAlgn val="ctr"/>
        <c:lblOffset val="100"/>
        <c:tickLblSkip val="2"/>
        <c:tickMarkSkip val="6"/>
        <c:noMultiLvlLbl val="0"/>
      </c:catAx>
      <c:valAx>
        <c:axId val="804103536"/>
        <c:scaling>
          <c:orientation val="minMax"/>
          <c:min val="0"/>
        </c:scaling>
        <c:delete val="0"/>
        <c:axPos val="l"/>
        <c:majorGridlines>
          <c:spPr>
            <a:ln w="3175">
              <a:solidFill>
                <a:srgbClr val="000000"/>
              </a:solidFill>
              <a:prstDash val="solid"/>
            </a:ln>
          </c:spPr>
        </c:majorGridlines>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誘殺数（匹）</a:t>
                </a:r>
              </a:p>
            </c:rich>
          </c:tx>
          <c:layout>
            <c:manualLayout>
              <c:xMode val="edge"/>
              <c:yMode val="edge"/>
              <c:x val="2.3400936037441498E-2"/>
              <c:y val="0.42949756280464946"/>
            </c:manualLayout>
          </c:layout>
          <c:overlay val="0"/>
          <c:spPr>
            <a:noFill/>
            <a:ln w="25400">
              <a:noFill/>
            </a:ln>
          </c:spPr>
        </c:title>
        <c:numFmt formatCode="0.0;;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04103144"/>
        <c:crosses val="autoZero"/>
        <c:crossBetween val="between"/>
        <c:majorUnit val="50"/>
        <c:minorUnit val="50"/>
      </c:valAx>
      <c:spPr>
        <a:noFill/>
        <a:ln w="12700">
          <a:solidFill>
            <a:srgbClr val="808080"/>
          </a:solidFill>
          <a:prstDash val="solid"/>
        </a:ln>
      </c:spPr>
    </c:plotArea>
    <c:legend>
      <c:legendPos val="r"/>
      <c:layout>
        <c:manualLayout>
          <c:xMode val="edge"/>
          <c:yMode val="edge"/>
          <c:x val="0.59594383775351012"/>
          <c:y val="0.16693680335412617"/>
          <c:w val="0.36037441497659906"/>
          <c:h val="0.10696918566997307"/>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6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orientation="landscape"/>
  </c:printSettings>
  <c:userShapes r:id="rId1"/>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ＭＳ Ｐゴシック"/>
                <a:ea typeface="ＭＳ Ｐゴシック"/>
                <a:cs typeface="ＭＳ Ｐゴシック"/>
              </a:defRPr>
            </a:pPr>
            <a:r>
              <a:rPr lang="ja-JP" altLang="en-US"/>
              <a:t>チャノコカクモンハマキ　発生消長</a:t>
            </a:r>
          </a:p>
        </c:rich>
      </c:tx>
      <c:layout>
        <c:manualLayout>
          <c:xMode val="edge"/>
          <c:yMode val="edge"/>
          <c:x val="0.34321372854914195"/>
          <c:y val="2.1069639022394927E-2"/>
        </c:manualLayout>
      </c:layout>
      <c:overlay val="0"/>
      <c:spPr>
        <a:noFill/>
        <a:ln w="25400">
          <a:noFill/>
        </a:ln>
      </c:spPr>
    </c:title>
    <c:autoTitleDeleted val="0"/>
    <c:plotArea>
      <c:layout>
        <c:manualLayout>
          <c:layoutTarget val="inner"/>
          <c:xMode val="edge"/>
          <c:yMode val="edge"/>
          <c:x val="0.11700468018720749"/>
          <c:y val="8.2658022690437608E-2"/>
          <c:w val="0.85335413416536665"/>
          <c:h val="0.8476499189627229"/>
        </c:manualLayout>
      </c:layout>
      <c:lineChart>
        <c:grouping val="standard"/>
        <c:varyColors val="0"/>
        <c:ser>
          <c:idx val="0"/>
          <c:order val="0"/>
          <c:tx>
            <c:strRef>
              <c:f>コカクモンSE!$M$6</c:f>
              <c:strCache>
                <c:ptCount val="1"/>
                <c:pt idx="0">
                  <c:v>1985年</c:v>
                </c:pt>
              </c:strCache>
            </c:strRef>
          </c:tx>
          <c:spPr>
            <a:ln w="12700">
              <a:solidFill>
                <a:srgbClr val="0000FF"/>
              </a:solidFill>
              <a:prstDash val="solid"/>
            </a:ln>
          </c:spPr>
          <c:marker>
            <c:symbol val="circle"/>
            <c:size val="6"/>
            <c:spPr>
              <a:solidFill>
                <a:srgbClr val="0000FF"/>
              </a:solidFill>
              <a:ln>
                <a:solidFill>
                  <a:srgbClr val="0000FF"/>
                </a:solidFill>
                <a:prstDash val="solid"/>
              </a:ln>
            </c:spPr>
          </c:marker>
          <c:cat>
            <c:strRef>
              <c:f>コカクモンSE!$B$14:$B$61</c:f>
              <c:strCache>
                <c:ptCount val="45"/>
                <c:pt idx="2">
                  <c:v>4月</c:v>
                </c:pt>
                <c:pt idx="8">
                  <c:v>5月</c:v>
                </c:pt>
                <c:pt idx="14">
                  <c:v>6月</c:v>
                </c:pt>
                <c:pt idx="20">
                  <c:v>7月</c:v>
                </c:pt>
                <c:pt idx="26">
                  <c:v>8月</c:v>
                </c:pt>
                <c:pt idx="32">
                  <c:v>9月</c:v>
                </c:pt>
                <c:pt idx="38">
                  <c:v>10月</c:v>
                </c:pt>
                <c:pt idx="44">
                  <c:v>11月</c:v>
                </c:pt>
              </c:strCache>
            </c:strRef>
          </c:cat>
          <c:val>
            <c:numRef>
              <c:f>コカクモンSE!$M$14:$M$61</c:f>
            </c:numRef>
          </c:val>
          <c:smooth val="0"/>
          <c:extLst>
            <c:ext xmlns:c16="http://schemas.microsoft.com/office/drawing/2014/chart" uri="{C3380CC4-5D6E-409C-BE32-E72D297353CC}">
              <c16:uniqueId val="{00000000-75E4-4ACE-A5D0-09A37E02BC82}"/>
            </c:ext>
          </c:extLst>
        </c:ser>
        <c:ser>
          <c:idx val="1"/>
          <c:order val="1"/>
          <c:tx>
            <c:strRef>
              <c:f>コカクモンSE!$E$6</c:f>
              <c:strCache>
                <c:ptCount val="1"/>
                <c:pt idx="0">
                  <c:v>平年（過去10年）</c:v>
                </c:pt>
              </c:strCache>
            </c:strRef>
          </c:tx>
          <c:spPr>
            <a:ln w="12700">
              <a:solidFill>
                <a:srgbClr val="FF00FF"/>
              </a:solidFill>
              <a:prstDash val="solid"/>
            </a:ln>
          </c:spPr>
          <c:marker>
            <c:symbol val="triangle"/>
            <c:size val="6"/>
            <c:spPr>
              <a:solidFill>
                <a:srgbClr val="FF00FF"/>
              </a:solidFill>
              <a:ln>
                <a:solidFill>
                  <a:srgbClr val="FF00FF"/>
                </a:solidFill>
                <a:prstDash val="solid"/>
              </a:ln>
            </c:spPr>
          </c:marker>
          <c:cat>
            <c:strRef>
              <c:f>コカクモンSE!$B$14:$B$61</c:f>
              <c:strCache>
                <c:ptCount val="45"/>
                <c:pt idx="2">
                  <c:v>4月</c:v>
                </c:pt>
                <c:pt idx="8">
                  <c:v>5月</c:v>
                </c:pt>
                <c:pt idx="14">
                  <c:v>6月</c:v>
                </c:pt>
                <c:pt idx="20">
                  <c:v>7月</c:v>
                </c:pt>
                <c:pt idx="26">
                  <c:v>8月</c:v>
                </c:pt>
                <c:pt idx="32">
                  <c:v>9月</c:v>
                </c:pt>
                <c:pt idx="38">
                  <c:v>10月</c:v>
                </c:pt>
                <c:pt idx="44">
                  <c:v>11月</c:v>
                </c:pt>
              </c:strCache>
            </c:strRef>
          </c:cat>
          <c:val>
            <c:numRef>
              <c:f>コカクモンSE!$E$14:$E$61</c:f>
              <c:numCache>
                <c:formatCode>0.0;;0</c:formatCode>
                <c:ptCount val="48"/>
                <c:pt idx="0">
                  <c:v>60.227407407407405</c:v>
                </c:pt>
                <c:pt idx="1">
                  <c:v>83.135925925925932</c:v>
                </c:pt>
                <c:pt idx="2">
                  <c:v>288.90444444444449</c:v>
                </c:pt>
                <c:pt idx="3">
                  <c:v>344.17777777777775</c:v>
                </c:pt>
                <c:pt idx="4">
                  <c:v>462.83984126984132</c:v>
                </c:pt>
                <c:pt idx="5">
                  <c:v>317.05222222222227</c:v>
                </c:pt>
                <c:pt idx="6">
                  <c:v>419.61904761904759</c:v>
                </c:pt>
                <c:pt idx="7">
                  <c:v>211.25</c:v>
                </c:pt>
                <c:pt idx="8">
                  <c:v>90.611111111111114</c:v>
                </c:pt>
                <c:pt idx="9">
                  <c:v>22.444444444444443</c:v>
                </c:pt>
                <c:pt idx="10">
                  <c:v>3.1740740740740745</c:v>
                </c:pt>
                <c:pt idx="11">
                  <c:v>1.4592592592592593</c:v>
                </c:pt>
                <c:pt idx="12">
                  <c:v>24.515999999999998</c:v>
                </c:pt>
                <c:pt idx="13">
                  <c:v>102.76399999999998</c:v>
                </c:pt>
                <c:pt idx="14">
                  <c:v>289.66999999999996</c:v>
                </c:pt>
                <c:pt idx="15">
                  <c:v>562.20299999999997</c:v>
                </c:pt>
                <c:pt idx="16">
                  <c:v>376.45699999999999</c:v>
                </c:pt>
                <c:pt idx="17">
                  <c:v>209.68333333333334</c:v>
                </c:pt>
                <c:pt idx="18">
                  <c:v>72.423666666666662</c:v>
                </c:pt>
                <c:pt idx="19">
                  <c:v>20.164000000000001</c:v>
                </c:pt>
                <c:pt idx="20">
                  <c:v>5.6859999999999999</c:v>
                </c:pt>
                <c:pt idx="21">
                  <c:v>49.160333333333334</c:v>
                </c:pt>
                <c:pt idx="22">
                  <c:v>77.079333333333338</c:v>
                </c:pt>
                <c:pt idx="23">
                  <c:v>75.210000000000008</c:v>
                </c:pt>
                <c:pt idx="24">
                  <c:v>101.15842857142857</c:v>
                </c:pt>
                <c:pt idx="25">
                  <c:v>51.863761904761908</c:v>
                </c:pt>
                <c:pt idx="26">
                  <c:v>7.2023333333333328</c:v>
                </c:pt>
                <c:pt idx="27">
                  <c:v>4.2960000000000003</c:v>
                </c:pt>
                <c:pt idx="28">
                  <c:v>29.364666666666665</c:v>
                </c:pt>
                <c:pt idx="29">
                  <c:v>85.449333333333328</c:v>
                </c:pt>
                <c:pt idx="30">
                  <c:v>90.18542857142856</c:v>
                </c:pt>
                <c:pt idx="31">
                  <c:v>97.751571428571438</c:v>
                </c:pt>
                <c:pt idx="32">
                  <c:v>120.60666666666668</c:v>
                </c:pt>
                <c:pt idx="33">
                  <c:v>107.32233333333333</c:v>
                </c:pt>
                <c:pt idx="34">
                  <c:v>90.433999999999997</c:v>
                </c:pt>
                <c:pt idx="35">
                  <c:v>38.55652380952381</c:v>
                </c:pt>
                <c:pt idx="36">
                  <c:v>99.950476190476195</c:v>
                </c:pt>
                <c:pt idx="37">
                  <c:v>138.16714285714286</c:v>
                </c:pt>
                <c:pt idx="38">
                  <c:v>157.87285714285713</c:v>
                </c:pt>
                <c:pt idx="39">
                  <c:v>196.37666666666667</c:v>
                </c:pt>
                <c:pt idx="40">
                  <c:v>137.77333333333334</c:v>
                </c:pt>
                <c:pt idx="41">
                  <c:v>156.72999999999999</c:v>
                </c:pt>
                <c:pt idx="42">
                  <c:v>138.42708333333331</c:v>
                </c:pt>
                <c:pt idx="43">
                  <c:v>66.572916666666671</c:v>
                </c:pt>
                <c:pt idx="44">
                  <c:v>58.90625</c:v>
                </c:pt>
                <c:pt idx="45">
                  <c:v>43.552956349206347</c:v>
                </c:pt>
                <c:pt idx="46">
                  <c:v>19.170357142857142</c:v>
                </c:pt>
                <c:pt idx="47">
                  <c:v>13.175000000000001</c:v>
                </c:pt>
              </c:numCache>
            </c:numRef>
          </c:val>
          <c:smooth val="0"/>
          <c:extLst>
            <c:ext xmlns:c16="http://schemas.microsoft.com/office/drawing/2014/chart" uri="{C3380CC4-5D6E-409C-BE32-E72D297353CC}">
              <c16:uniqueId val="{00000001-75E4-4ACE-A5D0-09A37E02BC82}"/>
            </c:ext>
          </c:extLst>
        </c:ser>
        <c:ser>
          <c:idx val="2"/>
          <c:order val="2"/>
          <c:tx>
            <c:strRef>
              <c:f>コカクモンSE!$F$6:$I$6</c:f>
              <c:strCache>
                <c:ptCount val="1"/>
                <c:pt idx="0">
                  <c:v>2021年 ～ 2025年 (5ヶ年平均)</c:v>
                </c:pt>
              </c:strCache>
            </c:strRef>
          </c:tx>
          <c:spPr>
            <a:ln w="12700">
              <a:solidFill>
                <a:srgbClr val="00FF00"/>
              </a:solidFill>
              <a:prstDash val="solid"/>
            </a:ln>
          </c:spPr>
          <c:marker>
            <c:symbol val="square"/>
            <c:size val="6"/>
            <c:spPr>
              <a:solidFill>
                <a:srgbClr val="00FF00"/>
              </a:solidFill>
              <a:ln>
                <a:solidFill>
                  <a:srgbClr val="00FF00"/>
                </a:solidFill>
                <a:prstDash val="solid"/>
              </a:ln>
            </c:spPr>
          </c:marker>
          <c:cat>
            <c:strRef>
              <c:f>コカクモンSE!$B$14:$B$61</c:f>
              <c:strCache>
                <c:ptCount val="45"/>
                <c:pt idx="2">
                  <c:v>4月</c:v>
                </c:pt>
                <c:pt idx="8">
                  <c:v>5月</c:v>
                </c:pt>
                <c:pt idx="14">
                  <c:v>6月</c:v>
                </c:pt>
                <c:pt idx="20">
                  <c:v>7月</c:v>
                </c:pt>
                <c:pt idx="26">
                  <c:v>8月</c:v>
                </c:pt>
                <c:pt idx="32">
                  <c:v>9月</c:v>
                </c:pt>
                <c:pt idx="38">
                  <c:v>10月</c:v>
                </c:pt>
                <c:pt idx="44">
                  <c:v>11月</c:v>
                </c:pt>
              </c:strCache>
            </c:strRef>
          </c:cat>
          <c:val>
            <c:numRef>
              <c:f>コカクモンSE!$H$14:$H$61</c:f>
              <c:numCache>
                <c:formatCode>0.0;;0</c:formatCode>
                <c:ptCount val="4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numCache>
            </c:numRef>
          </c:val>
          <c:smooth val="0"/>
          <c:extLst>
            <c:ext xmlns:c16="http://schemas.microsoft.com/office/drawing/2014/chart" uri="{C3380CC4-5D6E-409C-BE32-E72D297353CC}">
              <c16:uniqueId val="{00000002-75E4-4ACE-A5D0-09A37E02BC82}"/>
            </c:ext>
          </c:extLst>
        </c:ser>
        <c:dLbls>
          <c:showLegendKey val="0"/>
          <c:showVal val="0"/>
          <c:showCatName val="0"/>
          <c:showSerName val="0"/>
          <c:showPercent val="0"/>
          <c:showBubbleSize val="0"/>
        </c:dLbls>
        <c:marker val="1"/>
        <c:smooth val="0"/>
        <c:axId val="804127840"/>
        <c:axId val="878310488"/>
      </c:lineChart>
      <c:catAx>
        <c:axId val="804127840"/>
        <c:scaling>
          <c:orientation val="minMax"/>
        </c:scaling>
        <c:delete val="0"/>
        <c:axPos val="b"/>
        <c:majorGridlines>
          <c:spPr>
            <a:ln w="3175">
              <a:solidFill>
                <a:srgbClr val="000000"/>
              </a:solidFill>
              <a:prstDash val="solid"/>
            </a:ln>
          </c:spPr>
        </c:majorGridlines>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78310488"/>
        <c:crosses val="autoZero"/>
        <c:auto val="1"/>
        <c:lblAlgn val="ctr"/>
        <c:lblOffset val="100"/>
        <c:tickLblSkip val="2"/>
        <c:tickMarkSkip val="6"/>
        <c:noMultiLvlLbl val="0"/>
      </c:catAx>
      <c:valAx>
        <c:axId val="878310488"/>
        <c:scaling>
          <c:orientation val="minMax"/>
          <c:min val="0"/>
        </c:scaling>
        <c:delete val="0"/>
        <c:axPos val="l"/>
        <c:majorGridlines>
          <c:spPr>
            <a:ln w="3175">
              <a:solidFill>
                <a:srgbClr val="000000"/>
              </a:solidFill>
              <a:prstDash val="solid"/>
            </a:ln>
          </c:spPr>
        </c:majorGridlines>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誘殺数（匹）</a:t>
                </a:r>
              </a:p>
            </c:rich>
          </c:tx>
          <c:layout>
            <c:manualLayout>
              <c:xMode val="edge"/>
              <c:yMode val="edge"/>
              <c:x val="2.3400936037441498E-2"/>
              <c:y val="0.42949756280464946"/>
            </c:manualLayout>
          </c:layout>
          <c:overlay val="0"/>
          <c:spPr>
            <a:noFill/>
            <a:ln w="25400">
              <a:noFill/>
            </a:ln>
          </c:spPr>
        </c:title>
        <c:numFmt formatCode="0.0;;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04127840"/>
        <c:crosses val="autoZero"/>
        <c:crossBetween val="between"/>
        <c:majorUnit val="50"/>
        <c:minorUnit val="50"/>
      </c:valAx>
      <c:spPr>
        <a:noFill/>
        <a:ln w="12700">
          <a:solidFill>
            <a:srgbClr val="808080"/>
          </a:solidFill>
          <a:prstDash val="solid"/>
        </a:ln>
      </c:spPr>
    </c:plotArea>
    <c:legend>
      <c:legendPos val="r"/>
      <c:layout>
        <c:manualLayout>
          <c:xMode val="edge"/>
          <c:yMode val="edge"/>
          <c:x val="0.59594383775351012"/>
          <c:y val="0.16693680335412617"/>
          <c:w val="0.36037441497659906"/>
          <c:h val="0.10696918566997307"/>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6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orientation="landscape"/>
  </c:printSettings>
  <c:userShapes r:id="rId1"/>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ＭＳ Ｐゴシック"/>
                <a:ea typeface="ＭＳ Ｐゴシック"/>
                <a:cs typeface="ＭＳ Ｐゴシック"/>
              </a:defRPr>
            </a:pPr>
            <a:r>
              <a:rPr lang="ja-JP" altLang="en-US"/>
              <a:t>チャノコカクモンハマキ　発生消長</a:t>
            </a:r>
          </a:p>
        </c:rich>
      </c:tx>
      <c:layout>
        <c:manualLayout>
          <c:xMode val="edge"/>
          <c:yMode val="edge"/>
          <c:x val="0.34321372854914195"/>
          <c:y val="2.1069639022394927E-2"/>
        </c:manualLayout>
      </c:layout>
      <c:overlay val="0"/>
      <c:spPr>
        <a:noFill/>
        <a:ln w="25400">
          <a:noFill/>
        </a:ln>
      </c:spPr>
    </c:title>
    <c:autoTitleDeleted val="0"/>
    <c:plotArea>
      <c:layout>
        <c:manualLayout>
          <c:layoutTarget val="inner"/>
          <c:xMode val="edge"/>
          <c:yMode val="edge"/>
          <c:x val="0.11700468018720749"/>
          <c:y val="8.2658022690437608E-2"/>
          <c:w val="0.85335413416536665"/>
          <c:h val="0.8476499189627229"/>
        </c:manualLayout>
      </c:layout>
      <c:lineChart>
        <c:grouping val="standard"/>
        <c:varyColors val="0"/>
        <c:ser>
          <c:idx val="0"/>
          <c:order val="0"/>
          <c:tx>
            <c:strRef>
              <c:f>コカクモンSE!$S$6</c:f>
              <c:strCache>
                <c:ptCount val="1"/>
                <c:pt idx="0">
                  <c:v>1991年</c:v>
                </c:pt>
              </c:strCache>
            </c:strRef>
          </c:tx>
          <c:spPr>
            <a:ln w="12700">
              <a:solidFill>
                <a:srgbClr val="0000FF"/>
              </a:solidFill>
              <a:prstDash val="solid"/>
            </a:ln>
          </c:spPr>
          <c:marker>
            <c:symbol val="circle"/>
            <c:size val="6"/>
            <c:spPr>
              <a:solidFill>
                <a:srgbClr val="0000FF"/>
              </a:solidFill>
              <a:ln>
                <a:solidFill>
                  <a:srgbClr val="0000FF"/>
                </a:solidFill>
                <a:prstDash val="solid"/>
              </a:ln>
            </c:spPr>
          </c:marker>
          <c:cat>
            <c:strRef>
              <c:f>コカクモンSE!$B$14:$B$61</c:f>
              <c:strCache>
                <c:ptCount val="45"/>
                <c:pt idx="2">
                  <c:v>4月</c:v>
                </c:pt>
                <c:pt idx="8">
                  <c:v>5月</c:v>
                </c:pt>
                <c:pt idx="14">
                  <c:v>6月</c:v>
                </c:pt>
                <c:pt idx="20">
                  <c:v>7月</c:v>
                </c:pt>
                <c:pt idx="26">
                  <c:v>8月</c:v>
                </c:pt>
                <c:pt idx="32">
                  <c:v>9月</c:v>
                </c:pt>
                <c:pt idx="38">
                  <c:v>10月</c:v>
                </c:pt>
                <c:pt idx="44">
                  <c:v>11月</c:v>
                </c:pt>
              </c:strCache>
            </c:strRef>
          </c:cat>
          <c:val>
            <c:numRef>
              <c:f>コカクモンSE!$S$14:$S$61</c:f>
            </c:numRef>
          </c:val>
          <c:smooth val="0"/>
          <c:extLst>
            <c:ext xmlns:c16="http://schemas.microsoft.com/office/drawing/2014/chart" uri="{C3380CC4-5D6E-409C-BE32-E72D297353CC}">
              <c16:uniqueId val="{00000000-1F12-4C1E-A55A-F5FA8D580182}"/>
            </c:ext>
          </c:extLst>
        </c:ser>
        <c:ser>
          <c:idx val="1"/>
          <c:order val="1"/>
          <c:tx>
            <c:strRef>
              <c:f>コカクモンSE!$E$6</c:f>
              <c:strCache>
                <c:ptCount val="1"/>
                <c:pt idx="0">
                  <c:v>平年（過去10年）</c:v>
                </c:pt>
              </c:strCache>
            </c:strRef>
          </c:tx>
          <c:spPr>
            <a:ln w="12700">
              <a:solidFill>
                <a:srgbClr val="FF00FF"/>
              </a:solidFill>
              <a:prstDash val="solid"/>
            </a:ln>
          </c:spPr>
          <c:marker>
            <c:symbol val="triangle"/>
            <c:size val="6"/>
            <c:spPr>
              <a:solidFill>
                <a:srgbClr val="FF00FF"/>
              </a:solidFill>
              <a:ln>
                <a:solidFill>
                  <a:srgbClr val="FF00FF"/>
                </a:solidFill>
                <a:prstDash val="solid"/>
              </a:ln>
            </c:spPr>
          </c:marker>
          <c:cat>
            <c:strRef>
              <c:f>コカクモンSE!$B$14:$B$61</c:f>
              <c:strCache>
                <c:ptCount val="45"/>
                <c:pt idx="2">
                  <c:v>4月</c:v>
                </c:pt>
                <c:pt idx="8">
                  <c:v>5月</c:v>
                </c:pt>
                <c:pt idx="14">
                  <c:v>6月</c:v>
                </c:pt>
                <c:pt idx="20">
                  <c:v>7月</c:v>
                </c:pt>
                <c:pt idx="26">
                  <c:v>8月</c:v>
                </c:pt>
                <c:pt idx="32">
                  <c:v>9月</c:v>
                </c:pt>
                <c:pt idx="38">
                  <c:v>10月</c:v>
                </c:pt>
                <c:pt idx="44">
                  <c:v>11月</c:v>
                </c:pt>
              </c:strCache>
            </c:strRef>
          </c:cat>
          <c:val>
            <c:numRef>
              <c:f>コカクモンSE!$E$14:$E$61</c:f>
              <c:numCache>
                <c:formatCode>0.0;;0</c:formatCode>
                <c:ptCount val="48"/>
                <c:pt idx="0">
                  <c:v>60.227407407407405</c:v>
                </c:pt>
                <c:pt idx="1">
                  <c:v>83.135925925925932</c:v>
                </c:pt>
                <c:pt idx="2">
                  <c:v>288.90444444444449</c:v>
                </c:pt>
                <c:pt idx="3">
                  <c:v>344.17777777777775</c:v>
                </c:pt>
                <c:pt idx="4">
                  <c:v>462.83984126984132</c:v>
                </c:pt>
                <c:pt idx="5">
                  <c:v>317.05222222222227</c:v>
                </c:pt>
                <c:pt idx="6">
                  <c:v>419.61904761904759</c:v>
                </c:pt>
                <c:pt idx="7">
                  <c:v>211.25</c:v>
                </c:pt>
                <c:pt idx="8">
                  <c:v>90.611111111111114</c:v>
                </c:pt>
                <c:pt idx="9">
                  <c:v>22.444444444444443</c:v>
                </c:pt>
                <c:pt idx="10">
                  <c:v>3.1740740740740745</c:v>
                </c:pt>
                <c:pt idx="11">
                  <c:v>1.4592592592592593</c:v>
                </c:pt>
                <c:pt idx="12">
                  <c:v>24.515999999999998</c:v>
                </c:pt>
                <c:pt idx="13">
                  <c:v>102.76399999999998</c:v>
                </c:pt>
                <c:pt idx="14">
                  <c:v>289.66999999999996</c:v>
                </c:pt>
                <c:pt idx="15">
                  <c:v>562.20299999999997</c:v>
                </c:pt>
                <c:pt idx="16">
                  <c:v>376.45699999999999</c:v>
                </c:pt>
                <c:pt idx="17">
                  <c:v>209.68333333333334</c:v>
                </c:pt>
                <c:pt idx="18">
                  <c:v>72.423666666666662</c:v>
                </c:pt>
                <c:pt idx="19">
                  <c:v>20.164000000000001</c:v>
                </c:pt>
                <c:pt idx="20">
                  <c:v>5.6859999999999999</c:v>
                </c:pt>
                <c:pt idx="21">
                  <c:v>49.160333333333334</c:v>
                </c:pt>
                <c:pt idx="22">
                  <c:v>77.079333333333338</c:v>
                </c:pt>
                <c:pt idx="23">
                  <c:v>75.210000000000008</c:v>
                </c:pt>
                <c:pt idx="24">
                  <c:v>101.15842857142857</c:v>
                </c:pt>
                <c:pt idx="25">
                  <c:v>51.863761904761908</c:v>
                </c:pt>
                <c:pt idx="26">
                  <c:v>7.2023333333333328</c:v>
                </c:pt>
                <c:pt idx="27">
                  <c:v>4.2960000000000003</c:v>
                </c:pt>
                <c:pt idx="28">
                  <c:v>29.364666666666665</c:v>
                </c:pt>
                <c:pt idx="29">
                  <c:v>85.449333333333328</c:v>
                </c:pt>
                <c:pt idx="30">
                  <c:v>90.18542857142856</c:v>
                </c:pt>
                <c:pt idx="31">
                  <c:v>97.751571428571438</c:v>
                </c:pt>
                <c:pt idx="32">
                  <c:v>120.60666666666668</c:v>
                </c:pt>
                <c:pt idx="33">
                  <c:v>107.32233333333333</c:v>
                </c:pt>
                <c:pt idx="34">
                  <c:v>90.433999999999997</c:v>
                </c:pt>
                <c:pt idx="35">
                  <c:v>38.55652380952381</c:v>
                </c:pt>
                <c:pt idx="36">
                  <c:v>99.950476190476195</c:v>
                </c:pt>
                <c:pt idx="37">
                  <c:v>138.16714285714286</c:v>
                </c:pt>
                <c:pt idx="38">
                  <c:v>157.87285714285713</c:v>
                </c:pt>
                <c:pt idx="39">
                  <c:v>196.37666666666667</c:v>
                </c:pt>
                <c:pt idx="40">
                  <c:v>137.77333333333334</c:v>
                </c:pt>
                <c:pt idx="41">
                  <c:v>156.72999999999999</c:v>
                </c:pt>
                <c:pt idx="42">
                  <c:v>138.42708333333331</c:v>
                </c:pt>
                <c:pt idx="43">
                  <c:v>66.572916666666671</c:v>
                </c:pt>
                <c:pt idx="44">
                  <c:v>58.90625</c:v>
                </c:pt>
                <c:pt idx="45">
                  <c:v>43.552956349206347</c:v>
                </c:pt>
                <c:pt idx="46">
                  <c:v>19.170357142857142</c:v>
                </c:pt>
                <c:pt idx="47">
                  <c:v>13.175000000000001</c:v>
                </c:pt>
              </c:numCache>
            </c:numRef>
          </c:val>
          <c:smooth val="0"/>
          <c:extLst>
            <c:ext xmlns:c16="http://schemas.microsoft.com/office/drawing/2014/chart" uri="{C3380CC4-5D6E-409C-BE32-E72D297353CC}">
              <c16:uniqueId val="{00000001-1F12-4C1E-A55A-F5FA8D580182}"/>
            </c:ext>
          </c:extLst>
        </c:ser>
        <c:ser>
          <c:idx val="2"/>
          <c:order val="2"/>
          <c:tx>
            <c:strRef>
              <c:f>コカクモンSE!$F$6:$I$6</c:f>
              <c:strCache>
                <c:ptCount val="1"/>
                <c:pt idx="0">
                  <c:v>2021年 ～ 2025年 (5ヶ年平均)</c:v>
                </c:pt>
              </c:strCache>
            </c:strRef>
          </c:tx>
          <c:spPr>
            <a:ln w="12700">
              <a:solidFill>
                <a:srgbClr val="00FF00"/>
              </a:solidFill>
              <a:prstDash val="solid"/>
            </a:ln>
          </c:spPr>
          <c:marker>
            <c:symbol val="square"/>
            <c:size val="6"/>
            <c:spPr>
              <a:solidFill>
                <a:srgbClr val="00FF00"/>
              </a:solidFill>
              <a:ln>
                <a:solidFill>
                  <a:srgbClr val="00FF00"/>
                </a:solidFill>
                <a:prstDash val="solid"/>
              </a:ln>
            </c:spPr>
          </c:marker>
          <c:cat>
            <c:strRef>
              <c:f>コカクモンSE!$B$14:$B$61</c:f>
              <c:strCache>
                <c:ptCount val="45"/>
                <c:pt idx="2">
                  <c:v>4月</c:v>
                </c:pt>
                <c:pt idx="8">
                  <c:v>5月</c:v>
                </c:pt>
                <c:pt idx="14">
                  <c:v>6月</c:v>
                </c:pt>
                <c:pt idx="20">
                  <c:v>7月</c:v>
                </c:pt>
                <c:pt idx="26">
                  <c:v>8月</c:v>
                </c:pt>
                <c:pt idx="32">
                  <c:v>9月</c:v>
                </c:pt>
                <c:pt idx="38">
                  <c:v>10月</c:v>
                </c:pt>
                <c:pt idx="44">
                  <c:v>11月</c:v>
                </c:pt>
              </c:strCache>
            </c:strRef>
          </c:cat>
          <c:val>
            <c:numRef>
              <c:f>コカクモンSE!$H$14:$H$61</c:f>
              <c:numCache>
                <c:formatCode>0.0;;0</c:formatCode>
                <c:ptCount val="4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numCache>
            </c:numRef>
          </c:val>
          <c:smooth val="0"/>
          <c:extLst>
            <c:ext xmlns:c16="http://schemas.microsoft.com/office/drawing/2014/chart" uri="{C3380CC4-5D6E-409C-BE32-E72D297353CC}">
              <c16:uniqueId val="{00000002-1F12-4C1E-A55A-F5FA8D580182}"/>
            </c:ext>
          </c:extLst>
        </c:ser>
        <c:dLbls>
          <c:showLegendKey val="0"/>
          <c:showVal val="0"/>
          <c:showCatName val="0"/>
          <c:showSerName val="0"/>
          <c:showPercent val="0"/>
          <c:showBubbleSize val="0"/>
        </c:dLbls>
        <c:marker val="1"/>
        <c:smooth val="0"/>
        <c:axId val="806414960"/>
        <c:axId val="806417704"/>
      </c:lineChart>
      <c:catAx>
        <c:axId val="806414960"/>
        <c:scaling>
          <c:orientation val="minMax"/>
        </c:scaling>
        <c:delete val="0"/>
        <c:axPos val="b"/>
        <c:majorGridlines>
          <c:spPr>
            <a:ln w="3175">
              <a:solidFill>
                <a:srgbClr val="000000"/>
              </a:solidFill>
              <a:prstDash val="solid"/>
            </a:ln>
          </c:spPr>
        </c:majorGridlines>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06417704"/>
        <c:crosses val="autoZero"/>
        <c:auto val="1"/>
        <c:lblAlgn val="ctr"/>
        <c:lblOffset val="100"/>
        <c:tickLblSkip val="2"/>
        <c:tickMarkSkip val="6"/>
        <c:noMultiLvlLbl val="0"/>
      </c:catAx>
      <c:valAx>
        <c:axId val="806417704"/>
        <c:scaling>
          <c:orientation val="minMax"/>
          <c:min val="0"/>
        </c:scaling>
        <c:delete val="0"/>
        <c:axPos val="l"/>
        <c:majorGridlines>
          <c:spPr>
            <a:ln w="3175">
              <a:solidFill>
                <a:srgbClr val="000000"/>
              </a:solidFill>
              <a:prstDash val="solid"/>
            </a:ln>
          </c:spPr>
        </c:majorGridlines>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誘殺数（匹）</a:t>
                </a:r>
              </a:p>
            </c:rich>
          </c:tx>
          <c:layout>
            <c:manualLayout>
              <c:xMode val="edge"/>
              <c:yMode val="edge"/>
              <c:x val="2.3400936037441498E-2"/>
              <c:y val="0.42949756280464946"/>
            </c:manualLayout>
          </c:layout>
          <c:overlay val="0"/>
          <c:spPr>
            <a:noFill/>
            <a:ln w="25400">
              <a:noFill/>
            </a:ln>
          </c:spPr>
        </c:title>
        <c:numFmt formatCode="0.0;;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06414960"/>
        <c:crosses val="autoZero"/>
        <c:crossBetween val="between"/>
        <c:majorUnit val="50"/>
        <c:minorUnit val="50"/>
      </c:valAx>
      <c:spPr>
        <a:noFill/>
        <a:ln w="12700">
          <a:solidFill>
            <a:srgbClr val="808080"/>
          </a:solidFill>
          <a:prstDash val="solid"/>
        </a:ln>
      </c:spPr>
    </c:plotArea>
    <c:legend>
      <c:legendPos val="r"/>
      <c:layout>
        <c:manualLayout>
          <c:xMode val="edge"/>
          <c:yMode val="edge"/>
          <c:x val="0.59594383775351012"/>
          <c:y val="0.16693680335412617"/>
          <c:w val="0.36037441497659906"/>
          <c:h val="0.10696918566997307"/>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6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orientation="landscape"/>
  </c:printSettings>
  <c:userShapes r:id="rId1"/>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ＭＳ Ｐゴシック"/>
                <a:ea typeface="ＭＳ Ｐゴシック"/>
                <a:cs typeface="ＭＳ Ｐゴシック"/>
              </a:defRPr>
            </a:pPr>
            <a:r>
              <a:rPr lang="ja-JP" altLang="en-US"/>
              <a:t>チャノコカクモンハマキ　発生消長</a:t>
            </a:r>
          </a:p>
        </c:rich>
      </c:tx>
      <c:layout>
        <c:manualLayout>
          <c:xMode val="edge"/>
          <c:yMode val="edge"/>
          <c:x val="0.34321372854914195"/>
          <c:y val="2.1069639022394927E-2"/>
        </c:manualLayout>
      </c:layout>
      <c:overlay val="0"/>
      <c:spPr>
        <a:noFill/>
        <a:ln w="25400">
          <a:noFill/>
        </a:ln>
      </c:spPr>
    </c:title>
    <c:autoTitleDeleted val="0"/>
    <c:plotArea>
      <c:layout>
        <c:manualLayout>
          <c:layoutTarget val="inner"/>
          <c:xMode val="edge"/>
          <c:yMode val="edge"/>
          <c:x val="0.11700468018720749"/>
          <c:y val="8.2658022690437608E-2"/>
          <c:w val="0.85335413416536665"/>
          <c:h val="0.8476499189627229"/>
        </c:manualLayout>
      </c:layout>
      <c:lineChart>
        <c:grouping val="standard"/>
        <c:varyColors val="0"/>
        <c:ser>
          <c:idx val="0"/>
          <c:order val="0"/>
          <c:tx>
            <c:strRef>
              <c:f>コカクモンSE!$N$6</c:f>
              <c:strCache>
                <c:ptCount val="1"/>
                <c:pt idx="0">
                  <c:v>1986年</c:v>
                </c:pt>
              </c:strCache>
            </c:strRef>
          </c:tx>
          <c:spPr>
            <a:ln w="12700">
              <a:solidFill>
                <a:srgbClr val="0000FF"/>
              </a:solidFill>
              <a:prstDash val="solid"/>
            </a:ln>
          </c:spPr>
          <c:marker>
            <c:symbol val="circle"/>
            <c:size val="6"/>
            <c:spPr>
              <a:solidFill>
                <a:srgbClr val="0000FF"/>
              </a:solidFill>
              <a:ln>
                <a:solidFill>
                  <a:srgbClr val="0000FF"/>
                </a:solidFill>
                <a:prstDash val="solid"/>
              </a:ln>
            </c:spPr>
          </c:marker>
          <c:cat>
            <c:strRef>
              <c:f>コカクモンSE!$B$14:$B$61</c:f>
              <c:strCache>
                <c:ptCount val="45"/>
                <c:pt idx="2">
                  <c:v>4月</c:v>
                </c:pt>
                <c:pt idx="8">
                  <c:v>5月</c:v>
                </c:pt>
                <c:pt idx="14">
                  <c:v>6月</c:v>
                </c:pt>
                <c:pt idx="20">
                  <c:v>7月</c:v>
                </c:pt>
                <c:pt idx="26">
                  <c:v>8月</c:v>
                </c:pt>
                <c:pt idx="32">
                  <c:v>9月</c:v>
                </c:pt>
                <c:pt idx="38">
                  <c:v>10月</c:v>
                </c:pt>
                <c:pt idx="44">
                  <c:v>11月</c:v>
                </c:pt>
              </c:strCache>
            </c:strRef>
          </c:cat>
          <c:val>
            <c:numRef>
              <c:f>コカクモンSE!$O$14:$O$61</c:f>
            </c:numRef>
          </c:val>
          <c:smooth val="0"/>
          <c:extLst>
            <c:ext xmlns:c16="http://schemas.microsoft.com/office/drawing/2014/chart" uri="{C3380CC4-5D6E-409C-BE32-E72D297353CC}">
              <c16:uniqueId val="{00000000-C680-4743-A0EF-79FC63739D7B}"/>
            </c:ext>
          </c:extLst>
        </c:ser>
        <c:ser>
          <c:idx val="1"/>
          <c:order val="1"/>
          <c:tx>
            <c:strRef>
              <c:f>コカクモンSE!$E$6</c:f>
              <c:strCache>
                <c:ptCount val="1"/>
                <c:pt idx="0">
                  <c:v>平年（過去10年）</c:v>
                </c:pt>
              </c:strCache>
            </c:strRef>
          </c:tx>
          <c:spPr>
            <a:ln w="12700">
              <a:solidFill>
                <a:srgbClr val="FF00FF"/>
              </a:solidFill>
              <a:prstDash val="solid"/>
            </a:ln>
          </c:spPr>
          <c:marker>
            <c:symbol val="triangle"/>
            <c:size val="6"/>
            <c:spPr>
              <a:solidFill>
                <a:srgbClr val="FF00FF"/>
              </a:solidFill>
              <a:ln>
                <a:solidFill>
                  <a:srgbClr val="FF00FF"/>
                </a:solidFill>
                <a:prstDash val="solid"/>
              </a:ln>
            </c:spPr>
          </c:marker>
          <c:cat>
            <c:strRef>
              <c:f>コカクモンSE!$B$14:$B$61</c:f>
              <c:strCache>
                <c:ptCount val="45"/>
                <c:pt idx="2">
                  <c:v>4月</c:v>
                </c:pt>
                <c:pt idx="8">
                  <c:v>5月</c:v>
                </c:pt>
                <c:pt idx="14">
                  <c:v>6月</c:v>
                </c:pt>
                <c:pt idx="20">
                  <c:v>7月</c:v>
                </c:pt>
                <c:pt idx="26">
                  <c:v>8月</c:v>
                </c:pt>
                <c:pt idx="32">
                  <c:v>9月</c:v>
                </c:pt>
                <c:pt idx="38">
                  <c:v>10月</c:v>
                </c:pt>
                <c:pt idx="44">
                  <c:v>11月</c:v>
                </c:pt>
              </c:strCache>
            </c:strRef>
          </c:cat>
          <c:val>
            <c:numRef>
              <c:f>コカクモンSE!$E$14:$E$61</c:f>
              <c:numCache>
                <c:formatCode>0.0;;0</c:formatCode>
                <c:ptCount val="48"/>
                <c:pt idx="0">
                  <c:v>60.227407407407405</c:v>
                </c:pt>
                <c:pt idx="1">
                  <c:v>83.135925925925932</c:v>
                </c:pt>
                <c:pt idx="2">
                  <c:v>288.90444444444449</c:v>
                </c:pt>
                <c:pt idx="3">
                  <c:v>344.17777777777775</c:v>
                </c:pt>
                <c:pt idx="4">
                  <c:v>462.83984126984132</c:v>
                </c:pt>
                <c:pt idx="5">
                  <c:v>317.05222222222227</c:v>
                </c:pt>
                <c:pt idx="6">
                  <c:v>419.61904761904759</c:v>
                </c:pt>
                <c:pt idx="7">
                  <c:v>211.25</c:v>
                </c:pt>
                <c:pt idx="8">
                  <c:v>90.611111111111114</c:v>
                </c:pt>
                <c:pt idx="9">
                  <c:v>22.444444444444443</c:v>
                </c:pt>
                <c:pt idx="10">
                  <c:v>3.1740740740740745</c:v>
                </c:pt>
                <c:pt idx="11">
                  <c:v>1.4592592592592593</c:v>
                </c:pt>
                <c:pt idx="12">
                  <c:v>24.515999999999998</c:v>
                </c:pt>
                <c:pt idx="13">
                  <c:v>102.76399999999998</c:v>
                </c:pt>
                <c:pt idx="14">
                  <c:v>289.66999999999996</c:v>
                </c:pt>
                <c:pt idx="15">
                  <c:v>562.20299999999997</c:v>
                </c:pt>
                <c:pt idx="16">
                  <c:v>376.45699999999999</c:v>
                </c:pt>
                <c:pt idx="17">
                  <c:v>209.68333333333334</c:v>
                </c:pt>
                <c:pt idx="18">
                  <c:v>72.423666666666662</c:v>
                </c:pt>
                <c:pt idx="19">
                  <c:v>20.164000000000001</c:v>
                </c:pt>
                <c:pt idx="20">
                  <c:v>5.6859999999999999</c:v>
                </c:pt>
                <c:pt idx="21">
                  <c:v>49.160333333333334</c:v>
                </c:pt>
                <c:pt idx="22">
                  <c:v>77.079333333333338</c:v>
                </c:pt>
                <c:pt idx="23">
                  <c:v>75.210000000000008</c:v>
                </c:pt>
                <c:pt idx="24">
                  <c:v>101.15842857142857</c:v>
                </c:pt>
                <c:pt idx="25">
                  <c:v>51.863761904761908</c:v>
                </c:pt>
                <c:pt idx="26">
                  <c:v>7.2023333333333328</c:v>
                </c:pt>
                <c:pt idx="27">
                  <c:v>4.2960000000000003</c:v>
                </c:pt>
                <c:pt idx="28">
                  <c:v>29.364666666666665</c:v>
                </c:pt>
                <c:pt idx="29">
                  <c:v>85.449333333333328</c:v>
                </c:pt>
                <c:pt idx="30">
                  <c:v>90.18542857142856</c:v>
                </c:pt>
                <c:pt idx="31">
                  <c:v>97.751571428571438</c:v>
                </c:pt>
                <c:pt idx="32">
                  <c:v>120.60666666666668</c:v>
                </c:pt>
                <c:pt idx="33">
                  <c:v>107.32233333333333</c:v>
                </c:pt>
                <c:pt idx="34">
                  <c:v>90.433999999999997</c:v>
                </c:pt>
                <c:pt idx="35">
                  <c:v>38.55652380952381</c:v>
                </c:pt>
                <c:pt idx="36">
                  <c:v>99.950476190476195</c:v>
                </c:pt>
                <c:pt idx="37">
                  <c:v>138.16714285714286</c:v>
                </c:pt>
                <c:pt idx="38">
                  <c:v>157.87285714285713</c:v>
                </c:pt>
                <c:pt idx="39">
                  <c:v>196.37666666666667</c:v>
                </c:pt>
                <c:pt idx="40">
                  <c:v>137.77333333333334</c:v>
                </c:pt>
                <c:pt idx="41">
                  <c:v>156.72999999999999</c:v>
                </c:pt>
                <c:pt idx="42">
                  <c:v>138.42708333333331</c:v>
                </c:pt>
                <c:pt idx="43">
                  <c:v>66.572916666666671</c:v>
                </c:pt>
                <c:pt idx="44">
                  <c:v>58.90625</c:v>
                </c:pt>
                <c:pt idx="45">
                  <c:v>43.552956349206347</c:v>
                </c:pt>
                <c:pt idx="46">
                  <c:v>19.170357142857142</c:v>
                </c:pt>
                <c:pt idx="47">
                  <c:v>13.175000000000001</c:v>
                </c:pt>
              </c:numCache>
            </c:numRef>
          </c:val>
          <c:smooth val="0"/>
          <c:extLst>
            <c:ext xmlns:c16="http://schemas.microsoft.com/office/drawing/2014/chart" uri="{C3380CC4-5D6E-409C-BE32-E72D297353CC}">
              <c16:uniqueId val="{00000001-C680-4743-A0EF-79FC63739D7B}"/>
            </c:ext>
          </c:extLst>
        </c:ser>
        <c:ser>
          <c:idx val="2"/>
          <c:order val="2"/>
          <c:tx>
            <c:strRef>
              <c:f>コカクモンSE!$F$6:$I$6</c:f>
              <c:strCache>
                <c:ptCount val="1"/>
                <c:pt idx="0">
                  <c:v>2021年 ～ 2025年 (5ヶ年平均)</c:v>
                </c:pt>
              </c:strCache>
            </c:strRef>
          </c:tx>
          <c:spPr>
            <a:ln w="12700">
              <a:solidFill>
                <a:srgbClr val="00FF00"/>
              </a:solidFill>
              <a:prstDash val="solid"/>
            </a:ln>
          </c:spPr>
          <c:marker>
            <c:symbol val="square"/>
            <c:size val="6"/>
            <c:spPr>
              <a:solidFill>
                <a:srgbClr val="00FF00"/>
              </a:solidFill>
              <a:ln>
                <a:solidFill>
                  <a:srgbClr val="00FF00"/>
                </a:solidFill>
                <a:prstDash val="solid"/>
              </a:ln>
            </c:spPr>
          </c:marker>
          <c:cat>
            <c:strRef>
              <c:f>コカクモンSE!$B$14:$B$61</c:f>
              <c:strCache>
                <c:ptCount val="45"/>
                <c:pt idx="2">
                  <c:v>4月</c:v>
                </c:pt>
                <c:pt idx="8">
                  <c:v>5月</c:v>
                </c:pt>
                <c:pt idx="14">
                  <c:v>6月</c:v>
                </c:pt>
                <c:pt idx="20">
                  <c:v>7月</c:v>
                </c:pt>
                <c:pt idx="26">
                  <c:v>8月</c:v>
                </c:pt>
                <c:pt idx="32">
                  <c:v>9月</c:v>
                </c:pt>
                <c:pt idx="38">
                  <c:v>10月</c:v>
                </c:pt>
                <c:pt idx="44">
                  <c:v>11月</c:v>
                </c:pt>
              </c:strCache>
            </c:strRef>
          </c:cat>
          <c:val>
            <c:numRef>
              <c:f>コカクモンSE!$H$14:$H$61</c:f>
              <c:numCache>
                <c:formatCode>0.0;;0</c:formatCode>
                <c:ptCount val="4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numCache>
            </c:numRef>
          </c:val>
          <c:smooth val="0"/>
          <c:extLst>
            <c:ext xmlns:c16="http://schemas.microsoft.com/office/drawing/2014/chart" uri="{C3380CC4-5D6E-409C-BE32-E72D297353CC}">
              <c16:uniqueId val="{00000002-C680-4743-A0EF-79FC63739D7B}"/>
            </c:ext>
          </c:extLst>
        </c:ser>
        <c:dLbls>
          <c:showLegendKey val="0"/>
          <c:showVal val="0"/>
          <c:showCatName val="0"/>
          <c:showSerName val="0"/>
          <c:showPercent val="0"/>
          <c:showBubbleSize val="0"/>
        </c:dLbls>
        <c:marker val="1"/>
        <c:smooth val="0"/>
        <c:axId val="701176632"/>
        <c:axId val="701167224"/>
      </c:lineChart>
      <c:catAx>
        <c:axId val="701176632"/>
        <c:scaling>
          <c:orientation val="minMax"/>
        </c:scaling>
        <c:delete val="0"/>
        <c:axPos val="b"/>
        <c:majorGridlines>
          <c:spPr>
            <a:ln w="3175">
              <a:solidFill>
                <a:srgbClr val="000000"/>
              </a:solidFill>
              <a:prstDash val="solid"/>
            </a:ln>
          </c:spPr>
        </c:majorGridlines>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01167224"/>
        <c:crosses val="autoZero"/>
        <c:auto val="1"/>
        <c:lblAlgn val="ctr"/>
        <c:lblOffset val="100"/>
        <c:tickLblSkip val="2"/>
        <c:tickMarkSkip val="6"/>
        <c:noMultiLvlLbl val="0"/>
      </c:catAx>
      <c:valAx>
        <c:axId val="701167224"/>
        <c:scaling>
          <c:orientation val="minMax"/>
          <c:min val="0"/>
        </c:scaling>
        <c:delete val="0"/>
        <c:axPos val="l"/>
        <c:majorGridlines>
          <c:spPr>
            <a:ln w="3175">
              <a:solidFill>
                <a:srgbClr val="000000"/>
              </a:solidFill>
              <a:prstDash val="solid"/>
            </a:ln>
          </c:spPr>
        </c:majorGridlines>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誘殺数（匹）</a:t>
                </a:r>
              </a:p>
            </c:rich>
          </c:tx>
          <c:layout>
            <c:manualLayout>
              <c:xMode val="edge"/>
              <c:yMode val="edge"/>
              <c:x val="2.3400936037441498E-2"/>
              <c:y val="0.42949756280464946"/>
            </c:manualLayout>
          </c:layout>
          <c:overlay val="0"/>
          <c:spPr>
            <a:noFill/>
            <a:ln w="25400">
              <a:noFill/>
            </a:ln>
          </c:spPr>
        </c:title>
        <c:numFmt formatCode="0.0;;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01176632"/>
        <c:crosses val="autoZero"/>
        <c:crossBetween val="between"/>
        <c:majorUnit val="50"/>
        <c:minorUnit val="50"/>
      </c:valAx>
      <c:spPr>
        <a:noFill/>
        <a:ln w="12700">
          <a:solidFill>
            <a:srgbClr val="808080"/>
          </a:solidFill>
          <a:prstDash val="solid"/>
        </a:ln>
      </c:spPr>
    </c:plotArea>
    <c:legend>
      <c:legendPos val="r"/>
      <c:layout>
        <c:manualLayout>
          <c:xMode val="edge"/>
          <c:yMode val="edge"/>
          <c:x val="0.59594383775351012"/>
          <c:y val="0.16693680335412617"/>
          <c:w val="0.36037441497659906"/>
          <c:h val="0.10696918566997307"/>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6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orientation="landscape"/>
  </c:printSettings>
  <c:userShapes r:id="rId1"/>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ＭＳ Ｐゴシック"/>
                <a:ea typeface="ＭＳ Ｐゴシック"/>
                <a:cs typeface="ＭＳ Ｐゴシック"/>
              </a:defRPr>
            </a:pPr>
            <a:r>
              <a:rPr lang="ja-JP" altLang="en-US"/>
              <a:t>チャノコカクモンハマキ　発生消長</a:t>
            </a:r>
          </a:p>
        </c:rich>
      </c:tx>
      <c:layout>
        <c:manualLayout>
          <c:xMode val="edge"/>
          <c:yMode val="edge"/>
          <c:x val="0.34321372854914195"/>
          <c:y val="2.1069639022394927E-2"/>
        </c:manualLayout>
      </c:layout>
      <c:overlay val="0"/>
      <c:spPr>
        <a:noFill/>
        <a:ln w="25400">
          <a:noFill/>
        </a:ln>
      </c:spPr>
    </c:title>
    <c:autoTitleDeleted val="0"/>
    <c:plotArea>
      <c:layout>
        <c:manualLayout>
          <c:layoutTarget val="inner"/>
          <c:xMode val="edge"/>
          <c:yMode val="edge"/>
          <c:x val="0.11700468018720749"/>
          <c:y val="8.2658022690437608E-2"/>
          <c:w val="0.85335413416536665"/>
          <c:h val="0.8476499189627229"/>
        </c:manualLayout>
      </c:layout>
      <c:lineChart>
        <c:grouping val="standard"/>
        <c:varyColors val="0"/>
        <c:ser>
          <c:idx val="0"/>
          <c:order val="0"/>
          <c:tx>
            <c:strRef>
              <c:f>コカクモンSE!$R$6</c:f>
              <c:strCache>
                <c:ptCount val="1"/>
                <c:pt idx="0">
                  <c:v>1990年</c:v>
                </c:pt>
              </c:strCache>
            </c:strRef>
          </c:tx>
          <c:spPr>
            <a:ln w="12700">
              <a:solidFill>
                <a:srgbClr val="0000FF"/>
              </a:solidFill>
              <a:prstDash val="solid"/>
            </a:ln>
          </c:spPr>
          <c:marker>
            <c:symbol val="circle"/>
            <c:size val="6"/>
            <c:spPr>
              <a:solidFill>
                <a:srgbClr val="0000FF"/>
              </a:solidFill>
              <a:ln>
                <a:solidFill>
                  <a:srgbClr val="0000FF"/>
                </a:solidFill>
                <a:prstDash val="solid"/>
              </a:ln>
            </c:spPr>
          </c:marker>
          <c:cat>
            <c:strRef>
              <c:f>コカクモンSE!$B$14:$B$61</c:f>
              <c:strCache>
                <c:ptCount val="45"/>
                <c:pt idx="2">
                  <c:v>4月</c:v>
                </c:pt>
                <c:pt idx="8">
                  <c:v>5月</c:v>
                </c:pt>
                <c:pt idx="14">
                  <c:v>6月</c:v>
                </c:pt>
                <c:pt idx="20">
                  <c:v>7月</c:v>
                </c:pt>
                <c:pt idx="26">
                  <c:v>8月</c:v>
                </c:pt>
                <c:pt idx="32">
                  <c:v>9月</c:v>
                </c:pt>
                <c:pt idx="38">
                  <c:v>10月</c:v>
                </c:pt>
                <c:pt idx="44">
                  <c:v>11月</c:v>
                </c:pt>
              </c:strCache>
            </c:strRef>
          </c:cat>
          <c:val>
            <c:numRef>
              <c:f>コカクモンSE!$R$14:$R$61</c:f>
            </c:numRef>
          </c:val>
          <c:smooth val="0"/>
          <c:extLst>
            <c:ext xmlns:c16="http://schemas.microsoft.com/office/drawing/2014/chart" uri="{C3380CC4-5D6E-409C-BE32-E72D297353CC}">
              <c16:uniqueId val="{00000000-6E72-4094-A805-A6399E95DB3B}"/>
            </c:ext>
          </c:extLst>
        </c:ser>
        <c:ser>
          <c:idx val="1"/>
          <c:order val="1"/>
          <c:tx>
            <c:strRef>
              <c:f>コカクモンSE!$E$6</c:f>
              <c:strCache>
                <c:ptCount val="1"/>
                <c:pt idx="0">
                  <c:v>平年（過去10年）</c:v>
                </c:pt>
              </c:strCache>
            </c:strRef>
          </c:tx>
          <c:spPr>
            <a:ln w="12700">
              <a:solidFill>
                <a:srgbClr val="FF00FF"/>
              </a:solidFill>
              <a:prstDash val="solid"/>
            </a:ln>
          </c:spPr>
          <c:marker>
            <c:symbol val="triangle"/>
            <c:size val="6"/>
            <c:spPr>
              <a:solidFill>
                <a:srgbClr val="FF00FF"/>
              </a:solidFill>
              <a:ln>
                <a:solidFill>
                  <a:srgbClr val="FF00FF"/>
                </a:solidFill>
                <a:prstDash val="solid"/>
              </a:ln>
            </c:spPr>
          </c:marker>
          <c:cat>
            <c:strRef>
              <c:f>コカクモンSE!$B$14:$B$61</c:f>
              <c:strCache>
                <c:ptCount val="45"/>
                <c:pt idx="2">
                  <c:v>4月</c:v>
                </c:pt>
                <c:pt idx="8">
                  <c:v>5月</c:v>
                </c:pt>
                <c:pt idx="14">
                  <c:v>6月</c:v>
                </c:pt>
                <c:pt idx="20">
                  <c:v>7月</c:v>
                </c:pt>
                <c:pt idx="26">
                  <c:v>8月</c:v>
                </c:pt>
                <c:pt idx="32">
                  <c:v>9月</c:v>
                </c:pt>
                <c:pt idx="38">
                  <c:v>10月</c:v>
                </c:pt>
                <c:pt idx="44">
                  <c:v>11月</c:v>
                </c:pt>
              </c:strCache>
            </c:strRef>
          </c:cat>
          <c:val>
            <c:numRef>
              <c:f>コカクモンSE!$E$14:$E$61</c:f>
              <c:numCache>
                <c:formatCode>0.0;;0</c:formatCode>
                <c:ptCount val="48"/>
                <c:pt idx="0">
                  <c:v>60.227407407407405</c:v>
                </c:pt>
                <c:pt idx="1">
                  <c:v>83.135925925925932</c:v>
                </c:pt>
                <c:pt idx="2">
                  <c:v>288.90444444444449</c:v>
                </c:pt>
                <c:pt idx="3">
                  <c:v>344.17777777777775</c:v>
                </c:pt>
                <c:pt idx="4">
                  <c:v>462.83984126984132</c:v>
                </c:pt>
                <c:pt idx="5">
                  <c:v>317.05222222222227</c:v>
                </c:pt>
                <c:pt idx="6">
                  <c:v>419.61904761904759</c:v>
                </c:pt>
                <c:pt idx="7">
                  <c:v>211.25</c:v>
                </c:pt>
                <c:pt idx="8">
                  <c:v>90.611111111111114</c:v>
                </c:pt>
                <c:pt idx="9">
                  <c:v>22.444444444444443</c:v>
                </c:pt>
                <c:pt idx="10">
                  <c:v>3.1740740740740745</c:v>
                </c:pt>
                <c:pt idx="11">
                  <c:v>1.4592592592592593</c:v>
                </c:pt>
                <c:pt idx="12">
                  <c:v>24.515999999999998</c:v>
                </c:pt>
                <c:pt idx="13">
                  <c:v>102.76399999999998</c:v>
                </c:pt>
                <c:pt idx="14">
                  <c:v>289.66999999999996</c:v>
                </c:pt>
                <c:pt idx="15">
                  <c:v>562.20299999999997</c:v>
                </c:pt>
                <c:pt idx="16">
                  <c:v>376.45699999999999</c:v>
                </c:pt>
                <c:pt idx="17">
                  <c:v>209.68333333333334</c:v>
                </c:pt>
                <c:pt idx="18">
                  <c:v>72.423666666666662</c:v>
                </c:pt>
                <c:pt idx="19">
                  <c:v>20.164000000000001</c:v>
                </c:pt>
                <c:pt idx="20">
                  <c:v>5.6859999999999999</c:v>
                </c:pt>
                <c:pt idx="21">
                  <c:v>49.160333333333334</c:v>
                </c:pt>
                <c:pt idx="22">
                  <c:v>77.079333333333338</c:v>
                </c:pt>
                <c:pt idx="23">
                  <c:v>75.210000000000008</c:v>
                </c:pt>
                <c:pt idx="24">
                  <c:v>101.15842857142857</c:v>
                </c:pt>
                <c:pt idx="25">
                  <c:v>51.863761904761908</c:v>
                </c:pt>
                <c:pt idx="26">
                  <c:v>7.2023333333333328</c:v>
                </c:pt>
                <c:pt idx="27">
                  <c:v>4.2960000000000003</c:v>
                </c:pt>
                <c:pt idx="28">
                  <c:v>29.364666666666665</c:v>
                </c:pt>
                <c:pt idx="29">
                  <c:v>85.449333333333328</c:v>
                </c:pt>
                <c:pt idx="30">
                  <c:v>90.18542857142856</c:v>
                </c:pt>
                <c:pt idx="31">
                  <c:v>97.751571428571438</c:v>
                </c:pt>
                <c:pt idx="32">
                  <c:v>120.60666666666668</c:v>
                </c:pt>
                <c:pt idx="33">
                  <c:v>107.32233333333333</c:v>
                </c:pt>
                <c:pt idx="34">
                  <c:v>90.433999999999997</c:v>
                </c:pt>
                <c:pt idx="35">
                  <c:v>38.55652380952381</c:v>
                </c:pt>
                <c:pt idx="36">
                  <c:v>99.950476190476195</c:v>
                </c:pt>
                <c:pt idx="37">
                  <c:v>138.16714285714286</c:v>
                </c:pt>
                <c:pt idx="38">
                  <c:v>157.87285714285713</c:v>
                </c:pt>
                <c:pt idx="39">
                  <c:v>196.37666666666667</c:v>
                </c:pt>
                <c:pt idx="40">
                  <c:v>137.77333333333334</c:v>
                </c:pt>
                <c:pt idx="41">
                  <c:v>156.72999999999999</c:v>
                </c:pt>
                <c:pt idx="42">
                  <c:v>138.42708333333331</c:v>
                </c:pt>
                <c:pt idx="43">
                  <c:v>66.572916666666671</c:v>
                </c:pt>
                <c:pt idx="44">
                  <c:v>58.90625</c:v>
                </c:pt>
                <c:pt idx="45">
                  <c:v>43.552956349206347</c:v>
                </c:pt>
                <c:pt idx="46">
                  <c:v>19.170357142857142</c:v>
                </c:pt>
                <c:pt idx="47">
                  <c:v>13.175000000000001</c:v>
                </c:pt>
              </c:numCache>
            </c:numRef>
          </c:val>
          <c:smooth val="0"/>
          <c:extLst>
            <c:ext xmlns:c16="http://schemas.microsoft.com/office/drawing/2014/chart" uri="{C3380CC4-5D6E-409C-BE32-E72D297353CC}">
              <c16:uniqueId val="{00000001-6E72-4094-A805-A6399E95DB3B}"/>
            </c:ext>
          </c:extLst>
        </c:ser>
        <c:ser>
          <c:idx val="2"/>
          <c:order val="2"/>
          <c:tx>
            <c:strRef>
              <c:f>コカクモンSE!$F$6:$I$6</c:f>
              <c:strCache>
                <c:ptCount val="1"/>
                <c:pt idx="0">
                  <c:v>2021年 ～ 2025年 (5ヶ年平均)</c:v>
                </c:pt>
              </c:strCache>
            </c:strRef>
          </c:tx>
          <c:spPr>
            <a:ln w="12700">
              <a:solidFill>
                <a:srgbClr val="00FF00"/>
              </a:solidFill>
              <a:prstDash val="solid"/>
            </a:ln>
          </c:spPr>
          <c:marker>
            <c:symbol val="square"/>
            <c:size val="6"/>
            <c:spPr>
              <a:solidFill>
                <a:srgbClr val="00FF00"/>
              </a:solidFill>
              <a:ln>
                <a:solidFill>
                  <a:srgbClr val="00FF00"/>
                </a:solidFill>
                <a:prstDash val="solid"/>
              </a:ln>
            </c:spPr>
          </c:marker>
          <c:cat>
            <c:strRef>
              <c:f>コカクモンSE!$B$14:$B$61</c:f>
              <c:strCache>
                <c:ptCount val="45"/>
                <c:pt idx="2">
                  <c:v>4月</c:v>
                </c:pt>
                <c:pt idx="8">
                  <c:v>5月</c:v>
                </c:pt>
                <c:pt idx="14">
                  <c:v>6月</c:v>
                </c:pt>
                <c:pt idx="20">
                  <c:v>7月</c:v>
                </c:pt>
                <c:pt idx="26">
                  <c:v>8月</c:v>
                </c:pt>
                <c:pt idx="32">
                  <c:v>9月</c:v>
                </c:pt>
                <c:pt idx="38">
                  <c:v>10月</c:v>
                </c:pt>
                <c:pt idx="44">
                  <c:v>11月</c:v>
                </c:pt>
              </c:strCache>
            </c:strRef>
          </c:cat>
          <c:val>
            <c:numRef>
              <c:f>コカクモンSE!$H$14:$H$61</c:f>
              <c:numCache>
                <c:formatCode>0.0;;0</c:formatCode>
                <c:ptCount val="4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numCache>
            </c:numRef>
          </c:val>
          <c:smooth val="0"/>
          <c:extLst>
            <c:ext xmlns:c16="http://schemas.microsoft.com/office/drawing/2014/chart" uri="{C3380CC4-5D6E-409C-BE32-E72D297353CC}">
              <c16:uniqueId val="{00000002-6E72-4094-A805-A6399E95DB3B}"/>
            </c:ext>
          </c:extLst>
        </c:ser>
        <c:dLbls>
          <c:showLegendKey val="0"/>
          <c:showVal val="0"/>
          <c:showCatName val="0"/>
          <c:showSerName val="0"/>
          <c:showPercent val="0"/>
          <c:showBubbleSize val="0"/>
        </c:dLbls>
        <c:marker val="1"/>
        <c:smooth val="0"/>
        <c:axId val="701172712"/>
        <c:axId val="701166832"/>
      </c:lineChart>
      <c:catAx>
        <c:axId val="701172712"/>
        <c:scaling>
          <c:orientation val="minMax"/>
        </c:scaling>
        <c:delete val="0"/>
        <c:axPos val="b"/>
        <c:majorGridlines>
          <c:spPr>
            <a:ln w="3175">
              <a:solidFill>
                <a:srgbClr val="000000"/>
              </a:solidFill>
              <a:prstDash val="solid"/>
            </a:ln>
          </c:spPr>
        </c:majorGridlines>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01166832"/>
        <c:crosses val="autoZero"/>
        <c:auto val="1"/>
        <c:lblAlgn val="ctr"/>
        <c:lblOffset val="100"/>
        <c:tickLblSkip val="2"/>
        <c:tickMarkSkip val="6"/>
        <c:noMultiLvlLbl val="0"/>
      </c:catAx>
      <c:valAx>
        <c:axId val="701166832"/>
        <c:scaling>
          <c:orientation val="minMax"/>
          <c:min val="0"/>
        </c:scaling>
        <c:delete val="0"/>
        <c:axPos val="l"/>
        <c:majorGridlines>
          <c:spPr>
            <a:ln w="3175">
              <a:solidFill>
                <a:srgbClr val="000000"/>
              </a:solidFill>
              <a:prstDash val="solid"/>
            </a:ln>
          </c:spPr>
        </c:majorGridlines>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誘殺数（匹）</a:t>
                </a:r>
              </a:p>
            </c:rich>
          </c:tx>
          <c:layout>
            <c:manualLayout>
              <c:xMode val="edge"/>
              <c:yMode val="edge"/>
              <c:x val="2.3400936037441498E-2"/>
              <c:y val="0.42949756280464946"/>
            </c:manualLayout>
          </c:layout>
          <c:overlay val="0"/>
          <c:spPr>
            <a:noFill/>
            <a:ln w="25400">
              <a:noFill/>
            </a:ln>
          </c:spPr>
        </c:title>
        <c:numFmt formatCode="0.0;;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01172712"/>
        <c:crosses val="autoZero"/>
        <c:crossBetween val="between"/>
        <c:majorUnit val="50"/>
        <c:minorUnit val="50"/>
      </c:valAx>
      <c:spPr>
        <a:noFill/>
        <a:ln w="12700">
          <a:solidFill>
            <a:srgbClr val="808080"/>
          </a:solidFill>
          <a:prstDash val="solid"/>
        </a:ln>
      </c:spPr>
    </c:plotArea>
    <c:legend>
      <c:legendPos val="r"/>
      <c:layout>
        <c:manualLayout>
          <c:xMode val="edge"/>
          <c:yMode val="edge"/>
          <c:x val="0.59594383775351012"/>
          <c:y val="0.16693680335412617"/>
          <c:w val="0.36037441497659906"/>
          <c:h val="0.10696918566997307"/>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6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orientation="landscape"/>
  </c:printSettings>
  <c:userShapes r:id="rId1"/>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ＭＳ Ｐゴシック"/>
                <a:ea typeface="ＭＳ Ｐゴシック"/>
                <a:cs typeface="ＭＳ Ｐゴシック"/>
              </a:defRPr>
            </a:pPr>
            <a:r>
              <a:rPr lang="ja-JP" altLang="en-US"/>
              <a:t>チャノコカクモンハマキ　発生消長</a:t>
            </a:r>
          </a:p>
        </c:rich>
      </c:tx>
      <c:layout>
        <c:manualLayout>
          <c:xMode val="edge"/>
          <c:yMode val="edge"/>
          <c:x val="0.34321372854914195"/>
          <c:y val="2.1069639022394927E-2"/>
        </c:manualLayout>
      </c:layout>
      <c:overlay val="0"/>
      <c:spPr>
        <a:noFill/>
        <a:ln w="25400">
          <a:noFill/>
        </a:ln>
      </c:spPr>
    </c:title>
    <c:autoTitleDeleted val="0"/>
    <c:plotArea>
      <c:layout>
        <c:manualLayout>
          <c:layoutTarget val="inner"/>
          <c:xMode val="edge"/>
          <c:yMode val="edge"/>
          <c:x val="0.11700468018720749"/>
          <c:y val="8.2658022690437608E-2"/>
          <c:w val="0.85335413416536665"/>
          <c:h val="0.8476499189627229"/>
        </c:manualLayout>
      </c:layout>
      <c:lineChart>
        <c:grouping val="standard"/>
        <c:varyColors val="0"/>
        <c:ser>
          <c:idx val="0"/>
          <c:order val="0"/>
          <c:tx>
            <c:strRef>
              <c:f>コカクモンSE!$M$6</c:f>
              <c:strCache>
                <c:ptCount val="1"/>
                <c:pt idx="0">
                  <c:v>1985年</c:v>
                </c:pt>
              </c:strCache>
            </c:strRef>
          </c:tx>
          <c:spPr>
            <a:ln w="12700">
              <a:solidFill>
                <a:srgbClr val="0000FF"/>
              </a:solidFill>
              <a:prstDash val="solid"/>
            </a:ln>
          </c:spPr>
          <c:marker>
            <c:symbol val="circle"/>
            <c:size val="6"/>
            <c:spPr>
              <a:solidFill>
                <a:srgbClr val="0000FF"/>
              </a:solidFill>
              <a:ln>
                <a:solidFill>
                  <a:srgbClr val="0000FF"/>
                </a:solidFill>
                <a:prstDash val="solid"/>
              </a:ln>
            </c:spPr>
          </c:marker>
          <c:cat>
            <c:strRef>
              <c:f>コカクモンSE!$B$14:$B$61</c:f>
              <c:strCache>
                <c:ptCount val="45"/>
                <c:pt idx="2">
                  <c:v>4月</c:v>
                </c:pt>
                <c:pt idx="8">
                  <c:v>5月</c:v>
                </c:pt>
                <c:pt idx="14">
                  <c:v>6月</c:v>
                </c:pt>
                <c:pt idx="20">
                  <c:v>7月</c:v>
                </c:pt>
                <c:pt idx="26">
                  <c:v>8月</c:v>
                </c:pt>
                <c:pt idx="32">
                  <c:v>9月</c:v>
                </c:pt>
                <c:pt idx="38">
                  <c:v>10月</c:v>
                </c:pt>
                <c:pt idx="44">
                  <c:v>11月</c:v>
                </c:pt>
              </c:strCache>
            </c:strRef>
          </c:cat>
          <c:val>
            <c:numRef>
              <c:f>コカクモンSE!$M$14:$M$61</c:f>
            </c:numRef>
          </c:val>
          <c:smooth val="0"/>
          <c:extLst>
            <c:ext xmlns:c16="http://schemas.microsoft.com/office/drawing/2014/chart" uri="{C3380CC4-5D6E-409C-BE32-E72D297353CC}">
              <c16:uniqueId val="{00000000-75E4-4ACE-A5D0-09A37E02BC82}"/>
            </c:ext>
          </c:extLst>
        </c:ser>
        <c:ser>
          <c:idx val="1"/>
          <c:order val="1"/>
          <c:tx>
            <c:strRef>
              <c:f>コカクモンSE!$E$6</c:f>
              <c:strCache>
                <c:ptCount val="1"/>
                <c:pt idx="0">
                  <c:v>平年（過去10年）</c:v>
                </c:pt>
              </c:strCache>
            </c:strRef>
          </c:tx>
          <c:spPr>
            <a:ln w="12700">
              <a:solidFill>
                <a:srgbClr val="FF00FF"/>
              </a:solidFill>
              <a:prstDash val="solid"/>
            </a:ln>
          </c:spPr>
          <c:marker>
            <c:symbol val="triangle"/>
            <c:size val="6"/>
            <c:spPr>
              <a:solidFill>
                <a:srgbClr val="FF00FF"/>
              </a:solidFill>
              <a:ln>
                <a:solidFill>
                  <a:srgbClr val="FF00FF"/>
                </a:solidFill>
                <a:prstDash val="solid"/>
              </a:ln>
            </c:spPr>
          </c:marker>
          <c:cat>
            <c:strRef>
              <c:f>コカクモンSE!$B$14:$B$61</c:f>
              <c:strCache>
                <c:ptCount val="45"/>
                <c:pt idx="2">
                  <c:v>4月</c:v>
                </c:pt>
                <c:pt idx="8">
                  <c:v>5月</c:v>
                </c:pt>
                <c:pt idx="14">
                  <c:v>6月</c:v>
                </c:pt>
                <c:pt idx="20">
                  <c:v>7月</c:v>
                </c:pt>
                <c:pt idx="26">
                  <c:v>8月</c:v>
                </c:pt>
                <c:pt idx="32">
                  <c:v>9月</c:v>
                </c:pt>
                <c:pt idx="38">
                  <c:v>10月</c:v>
                </c:pt>
                <c:pt idx="44">
                  <c:v>11月</c:v>
                </c:pt>
              </c:strCache>
            </c:strRef>
          </c:cat>
          <c:val>
            <c:numRef>
              <c:f>コカクモンSE!$E$14:$E$61</c:f>
              <c:numCache>
                <c:formatCode>0.0;;0</c:formatCode>
                <c:ptCount val="48"/>
                <c:pt idx="0">
                  <c:v>60.227407407407405</c:v>
                </c:pt>
                <c:pt idx="1">
                  <c:v>83.135925925925932</c:v>
                </c:pt>
                <c:pt idx="2">
                  <c:v>288.90444444444449</c:v>
                </c:pt>
                <c:pt idx="3">
                  <c:v>344.17777777777775</c:v>
                </c:pt>
                <c:pt idx="4">
                  <c:v>462.83984126984132</c:v>
                </c:pt>
                <c:pt idx="5">
                  <c:v>317.05222222222227</c:v>
                </c:pt>
                <c:pt idx="6">
                  <c:v>419.61904761904759</c:v>
                </c:pt>
                <c:pt idx="7">
                  <c:v>211.25</c:v>
                </c:pt>
                <c:pt idx="8">
                  <c:v>90.611111111111114</c:v>
                </c:pt>
                <c:pt idx="9">
                  <c:v>22.444444444444443</c:v>
                </c:pt>
                <c:pt idx="10">
                  <c:v>3.1740740740740745</c:v>
                </c:pt>
                <c:pt idx="11">
                  <c:v>1.4592592592592593</c:v>
                </c:pt>
                <c:pt idx="12">
                  <c:v>24.515999999999998</c:v>
                </c:pt>
                <c:pt idx="13">
                  <c:v>102.76399999999998</c:v>
                </c:pt>
                <c:pt idx="14">
                  <c:v>289.66999999999996</c:v>
                </c:pt>
                <c:pt idx="15">
                  <c:v>562.20299999999997</c:v>
                </c:pt>
                <c:pt idx="16">
                  <c:v>376.45699999999999</c:v>
                </c:pt>
                <c:pt idx="17">
                  <c:v>209.68333333333334</c:v>
                </c:pt>
                <c:pt idx="18">
                  <c:v>72.423666666666662</c:v>
                </c:pt>
                <c:pt idx="19">
                  <c:v>20.164000000000001</c:v>
                </c:pt>
                <c:pt idx="20">
                  <c:v>5.6859999999999999</c:v>
                </c:pt>
                <c:pt idx="21">
                  <c:v>49.160333333333334</c:v>
                </c:pt>
                <c:pt idx="22">
                  <c:v>77.079333333333338</c:v>
                </c:pt>
                <c:pt idx="23">
                  <c:v>75.210000000000008</c:v>
                </c:pt>
                <c:pt idx="24">
                  <c:v>101.15842857142857</c:v>
                </c:pt>
                <c:pt idx="25">
                  <c:v>51.863761904761908</c:v>
                </c:pt>
                <c:pt idx="26">
                  <c:v>7.2023333333333328</c:v>
                </c:pt>
                <c:pt idx="27">
                  <c:v>4.2960000000000003</c:v>
                </c:pt>
                <c:pt idx="28">
                  <c:v>29.364666666666665</c:v>
                </c:pt>
                <c:pt idx="29">
                  <c:v>85.449333333333328</c:v>
                </c:pt>
                <c:pt idx="30">
                  <c:v>90.18542857142856</c:v>
                </c:pt>
                <c:pt idx="31">
                  <c:v>97.751571428571438</c:v>
                </c:pt>
                <c:pt idx="32">
                  <c:v>120.60666666666668</c:v>
                </c:pt>
                <c:pt idx="33">
                  <c:v>107.32233333333333</c:v>
                </c:pt>
                <c:pt idx="34">
                  <c:v>90.433999999999997</c:v>
                </c:pt>
                <c:pt idx="35">
                  <c:v>38.55652380952381</c:v>
                </c:pt>
                <c:pt idx="36">
                  <c:v>99.950476190476195</c:v>
                </c:pt>
                <c:pt idx="37">
                  <c:v>138.16714285714286</c:v>
                </c:pt>
                <c:pt idx="38">
                  <c:v>157.87285714285713</c:v>
                </c:pt>
                <c:pt idx="39">
                  <c:v>196.37666666666667</c:v>
                </c:pt>
                <c:pt idx="40">
                  <c:v>137.77333333333334</c:v>
                </c:pt>
                <c:pt idx="41">
                  <c:v>156.72999999999999</c:v>
                </c:pt>
                <c:pt idx="42">
                  <c:v>138.42708333333331</c:v>
                </c:pt>
                <c:pt idx="43">
                  <c:v>66.572916666666671</c:v>
                </c:pt>
                <c:pt idx="44">
                  <c:v>58.90625</c:v>
                </c:pt>
                <c:pt idx="45">
                  <c:v>43.552956349206347</c:v>
                </c:pt>
                <c:pt idx="46">
                  <c:v>19.170357142857142</c:v>
                </c:pt>
                <c:pt idx="47">
                  <c:v>13.175000000000001</c:v>
                </c:pt>
              </c:numCache>
            </c:numRef>
          </c:val>
          <c:smooth val="0"/>
          <c:extLst>
            <c:ext xmlns:c16="http://schemas.microsoft.com/office/drawing/2014/chart" uri="{C3380CC4-5D6E-409C-BE32-E72D297353CC}">
              <c16:uniqueId val="{00000001-75E4-4ACE-A5D0-09A37E02BC82}"/>
            </c:ext>
          </c:extLst>
        </c:ser>
        <c:ser>
          <c:idx val="2"/>
          <c:order val="2"/>
          <c:tx>
            <c:strRef>
              <c:f>コカクモンSE!$F$6:$I$6</c:f>
              <c:strCache>
                <c:ptCount val="1"/>
                <c:pt idx="0">
                  <c:v>2021年 ～ 2025年 (5ヶ年平均)</c:v>
                </c:pt>
              </c:strCache>
            </c:strRef>
          </c:tx>
          <c:spPr>
            <a:ln w="12700">
              <a:solidFill>
                <a:srgbClr val="00FF00"/>
              </a:solidFill>
              <a:prstDash val="solid"/>
            </a:ln>
          </c:spPr>
          <c:marker>
            <c:symbol val="square"/>
            <c:size val="6"/>
            <c:spPr>
              <a:solidFill>
                <a:srgbClr val="00FF00"/>
              </a:solidFill>
              <a:ln>
                <a:solidFill>
                  <a:srgbClr val="00FF00"/>
                </a:solidFill>
                <a:prstDash val="solid"/>
              </a:ln>
            </c:spPr>
          </c:marker>
          <c:cat>
            <c:strRef>
              <c:f>コカクモンSE!$B$14:$B$61</c:f>
              <c:strCache>
                <c:ptCount val="45"/>
                <c:pt idx="2">
                  <c:v>4月</c:v>
                </c:pt>
                <c:pt idx="8">
                  <c:v>5月</c:v>
                </c:pt>
                <c:pt idx="14">
                  <c:v>6月</c:v>
                </c:pt>
                <c:pt idx="20">
                  <c:v>7月</c:v>
                </c:pt>
                <c:pt idx="26">
                  <c:v>8月</c:v>
                </c:pt>
                <c:pt idx="32">
                  <c:v>9月</c:v>
                </c:pt>
                <c:pt idx="38">
                  <c:v>10月</c:v>
                </c:pt>
                <c:pt idx="44">
                  <c:v>11月</c:v>
                </c:pt>
              </c:strCache>
            </c:strRef>
          </c:cat>
          <c:val>
            <c:numRef>
              <c:f>コカクモンSE!$H$14:$H$61</c:f>
              <c:numCache>
                <c:formatCode>0.0;;0</c:formatCode>
                <c:ptCount val="4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numCache>
            </c:numRef>
          </c:val>
          <c:smooth val="0"/>
          <c:extLst>
            <c:ext xmlns:c16="http://schemas.microsoft.com/office/drawing/2014/chart" uri="{C3380CC4-5D6E-409C-BE32-E72D297353CC}">
              <c16:uniqueId val="{00000002-75E4-4ACE-A5D0-09A37E02BC82}"/>
            </c:ext>
          </c:extLst>
        </c:ser>
        <c:dLbls>
          <c:showLegendKey val="0"/>
          <c:showVal val="0"/>
          <c:showCatName val="0"/>
          <c:showSerName val="0"/>
          <c:showPercent val="0"/>
          <c:showBubbleSize val="0"/>
        </c:dLbls>
        <c:marker val="1"/>
        <c:smooth val="0"/>
        <c:axId val="701166048"/>
        <c:axId val="701167616"/>
      </c:lineChart>
      <c:catAx>
        <c:axId val="701166048"/>
        <c:scaling>
          <c:orientation val="minMax"/>
        </c:scaling>
        <c:delete val="0"/>
        <c:axPos val="b"/>
        <c:majorGridlines>
          <c:spPr>
            <a:ln w="3175">
              <a:solidFill>
                <a:srgbClr val="000000"/>
              </a:solidFill>
              <a:prstDash val="solid"/>
            </a:ln>
          </c:spPr>
        </c:majorGridlines>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01167616"/>
        <c:crosses val="autoZero"/>
        <c:auto val="1"/>
        <c:lblAlgn val="ctr"/>
        <c:lblOffset val="100"/>
        <c:tickLblSkip val="2"/>
        <c:tickMarkSkip val="6"/>
        <c:noMultiLvlLbl val="0"/>
      </c:catAx>
      <c:valAx>
        <c:axId val="701167616"/>
        <c:scaling>
          <c:orientation val="minMax"/>
          <c:min val="0"/>
        </c:scaling>
        <c:delete val="0"/>
        <c:axPos val="l"/>
        <c:majorGridlines>
          <c:spPr>
            <a:ln w="3175">
              <a:solidFill>
                <a:srgbClr val="000000"/>
              </a:solidFill>
              <a:prstDash val="solid"/>
            </a:ln>
          </c:spPr>
        </c:majorGridlines>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誘殺数（匹）</a:t>
                </a:r>
              </a:p>
            </c:rich>
          </c:tx>
          <c:layout>
            <c:manualLayout>
              <c:xMode val="edge"/>
              <c:yMode val="edge"/>
              <c:x val="2.3400936037441498E-2"/>
              <c:y val="0.42949756280464946"/>
            </c:manualLayout>
          </c:layout>
          <c:overlay val="0"/>
          <c:spPr>
            <a:noFill/>
            <a:ln w="25400">
              <a:noFill/>
            </a:ln>
          </c:spPr>
        </c:title>
        <c:numFmt formatCode="0.0;;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01166048"/>
        <c:crosses val="autoZero"/>
        <c:crossBetween val="between"/>
        <c:majorUnit val="50"/>
        <c:minorUnit val="50"/>
      </c:valAx>
      <c:spPr>
        <a:noFill/>
        <a:ln w="12700">
          <a:solidFill>
            <a:srgbClr val="808080"/>
          </a:solidFill>
          <a:prstDash val="solid"/>
        </a:ln>
      </c:spPr>
    </c:plotArea>
    <c:legend>
      <c:legendPos val="r"/>
      <c:layout>
        <c:manualLayout>
          <c:xMode val="edge"/>
          <c:yMode val="edge"/>
          <c:x val="0.59594383775351012"/>
          <c:y val="0.16693680335412617"/>
          <c:w val="0.36037441497659906"/>
          <c:h val="0.10696918566997307"/>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6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orientation="landscape"/>
  </c:printSettings>
  <c:userShapes r:id="rId1"/>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val>
            <c:numRef>
              <c:f>コカクモンSE!$M$63:$AL$63</c:f>
              <c:numCache>
                <c:formatCode>General</c:formatCode>
                <c:ptCount val="3"/>
              </c:numCache>
            </c:numRef>
          </c:val>
          <c:smooth val="0"/>
          <c:extLst>
            <c:ext xmlns:c16="http://schemas.microsoft.com/office/drawing/2014/chart" uri="{C3380CC4-5D6E-409C-BE32-E72D297353CC}">
              <c16:uniqueId val="{00000000-2737-4FF5-8F37-EDFAD93B8177}"/>
            </c:ext>
          </c:extLst>
        </c:ser>
        <c:dLbls>
          <c:showLegendKey val="0"/>
          <c:showVal val="0"/>
          <c:showCatName val="0"/>
          <c:showSerName val="0"/>
          <c:showPercent val="0"/>
          <c:showBubbleSize val="0"/>
        </c:dLbls>
        <c:marker val="1"/>
        <c:smooth val="0"/>
        <c:axId val="701168008"/>
        <c:axId val="701168400"/>
      </c:lineChart>
      <c:catAx>
        <c:axId val="701168008"/>
        <c:scaling>
          <c:orientation val="minMax"/>
        </c:scaling>
        <c:delete val="0"/>
        <c:axPos val="b"/>
        <c:majorTickMark val="out"/>
        <c:minorTickMark val="none"/>
        <c:tickLblPos val="nextTo"/>
        <c:crossAx val="701168400"/>
        <c:crosses val="autoZero"/>
        <c:auto val="1"/>
        <c:lblAlgn val="ctr"/>
        <c:lblOffset val="100"/>
        <c:noMultiLvlLbl val="0"/>
      </c:catAx>
      <c:valAx>
        <c:axId val="701168400"/>
        <c:scaling>
          <c:orientation val="minMax"/>
        </c:scaling>
        <c:delete val="0"/>
        <c:axPos val="l"/>
        <c:majorGridlines/>
        <c:numFmt formatCode="General" sourceLinked="1"/>
        <c:majorTickMark val="out"/>
        <c:minorTickMark val="none"/>
        <c:tickLblPos val="nextTo"/>
        <c:crossAx val="701168008"/>
        <c:crosses val="autoZero"/>
        <c:crossBetween val="between"/>
      </c:valAx>
    </c:plotArea>
    <c:plotVisOnly val="1"/>
    <c:dispBlanksAs val="gap"/>
    <c:showDLblsOverMax val="0"/>
  </c:chart>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val>
            <c:numRef>
              <c:f>コカクモンSE!$M$64:$AL$64</c:f>
              <c:numCache>
                <c:formatCode>General</c:formatCode>
                <c:ptCount val="3"/>
              </c:numCache>
            </c:numRef>
          </c:val>
          <c:smooth val="0"/>
          <c:extLst>
            <c:ext xmlns:c16="http://schemas.microsoft.com/office/drawing/2014/chart" uri="{C3380CC4-5D6E-409C-BE32-E72D297353CC}">
              <c16:uniqueId val="{00000000-25EB-4CDE-8934-A04E035B9908}"/>
            </c:ext>
          </c:extLst>
        </c:ser>
        <c:dLbls>
          <c:showLegendKey val="0"/>
          <c:showVal val="0"/>
          <c:showCatName val="0"/>
          <c:showSerName val="0"/>
          <c:showPercent val="0"/>
          <c:showBubbleSize val="0"/>
        </c:dLbls>
        <c:marker val="1"/>
        <c:smooth val="0"/>
        <c:axId val="701173104"/>
        <c:axId val="701173496"/>
      </c:lineChart>
      <c:catAx>
        <c:axId val="701173104"/>
        <c:scaling>
          <c:orientation val="minMax"/>
        </c:scaling>
        <c:delete val="0"/>
        <c:axPos val="b"/>
        <c:majorTickMark val="out"/>
        <c:minorTickMark val="none"/>
        <c:tickLblPos val="nextTo"/>
        <c:crossAx val="701173496"/>
        <c:crosses val="autoZero"/>
        <c:auto val="1"/>
        <c:lblAlgn val="ctr"/>
        <c:lblOffset val="100"/>
        <c:noMultiLvlLbl val="0"/>
      </c:catAx>
      <c:valAx>
        <c:axId val="701173496"/>
        <c:scaling>
          <c:orientation val="minMax"/>
        </c:scaling>
        <c:delete val="0"/>
        <c:axPos val="l"/>
        <c:majorGridlines/>
        <c:numFmt formatCode="General" sourceLinked="1"/>
        <c:majorTickMark val="out"/>
        <c:minorTickMark val="none"/>
        <c:tickLblPos val="nextTo"/>
        <c:crossAx val="701173104"/>
        <c:crosses val="autoZero"/>
        <c:crossBetween val="between"/>
      </c:valAx>
    </c:plotArea>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ja-JP"/>
              <a:t>チャノコカクモンハマキ　発生消長（フェロモントラップ</a:t>
            </a:r>
            <a:r>
              <a:rPr lang="en-US" altLang="ja-JP"/>
              <a:t> )</a:t>
            </a:r>
            <a:endParaRPr lang="ja-JP"/>
          </a:p>
        </c:rich>
      </c:tx>
      <c:layout>
        <c:manualLayout>
          <c:xMode val="edge"/>
          <c:yMode val="edge"/>
          <c:x val="0.24414453796723684"/>
          <c:y val="1.1855486953371502E-2"/>
        </c:manualLayout>
      </c:layout>
      <c:overlay val="0"/>
      <c:spPr>
        <a:noFill/>
        <a:ln w="25400">
          <a:noFill/>
        </a:ln>
      </c:spPr>
    </c:title>
    <c:autoTitleDeleted val="0"/>
    <c:plotArea>
      <c:layout>
        <c:manualLayout>
          <c:layoutTarget val="inner"/>
          <c:xMode val="edge"/>
          <c:yMode val="edge"/>
          <c:x val="0.11346975563267966"/>
          <c:y val="0.13257159233685931"/>
          <c:w val="0.86281610472730363"/>
          <c:h val="0.726657773387408"/>
        </c:manualLayout>
      </c:layout>
      <c:lineChart>
        <c:grouping val="standard"/>
        <c:varyColors val="0"/>
        <c:ser>
          <c:idx val="1"/>
          <c:order val="0"/>
          <c:tx>
            <c:strRef>
              <c:f>コカクモンSE!$E$6</c:f>
              <c:strCache>
                <c:ptCount val="1"/>
                <c:pt idx="0">
                  <c:v>平年（過去10年）</c:v>
                </c:pt>
              </c:strCache>
            </c:strRef>
          </c:tx>
          <c:spPr>
            <a:ln w="25400">
              <a:solidFill>
                <a:srgbClr val="C00000"/>
              </a:solidFill>
              <a:prstDash val="solid"/>
            </a:ln>
          </c:spPr>
          <c:marker>
            <c:symbol val="triangle"/>
            <c:size val="8"/>
            <c:spPr>
              <a:solidFill>
                <a:srgbClr val="C00000"/>
              </a:solidFill>
              <a:ln>
                <a:solidFill>
                  <a:srgbClr val="C00000"/>
                </a:solidFill>
                <a:prstDash val="solid"/>
              </a:ln>
            </c:spPr>
          </c:marker>
          <c:cat>
            <c:strRef>
              <c:f>コカクモンSE!$B$14:$B$61</c:f>
              <c:strCache>
                <c:ptCount val="45"/>
                <c:pt idx="2">
                  <c:v>4月</c:v>
                </c:pt>
                <c:pt idx="8">
                  <c:v>5月</c:v>
                </c:pt>
                <c:pt idx="14">
                  <c:v>6月</c:v>
                </c:pt>
                <c:pt idx="20">
                  <c:v>7月</c:v>
                </c:pt>
                <c:pt idx="26">
                  <c:v>8月</c:v>
                </c:pt>
                <c:pt idx="32">
                  <c:v>9月</c:v>
                </c:pt>
                <c:pt idx="38">
                  <c:v>10月</c:v>
                </c:pt>
                <c:pt idx="44">
                  <c:v>11月</c:v>
                </c:pt>
              </c:strCache>
            </c:strRef>
          </c:cat>
          <c:val>
            <c:numRef>
              <c:f>コカクモンSE!$E$14:$E$61</c:f>
              <c:numCache>
                <c:formatCode>0.0;;0</c:formatCode>
                <c:ptCount val="48"/>
                <c:pt idx="0">
                  <c:v>60.227407407407405</c:v>
                </c:pt>
                <c:pt idx="1">
                  <c:v>83.135925925925932</c:v>
                </c:pt>
                <c:pt idx="2">
                  <c:v>288.90444444444449</c:v>
                </c:pt>
                <c:pt idx="3">
                  <c:v>344.17777777777775</c:v>
                </c:pt>
                <c:pt idx="4">
                  <c:v>462.83984126984132</c:v>
                </c:pt>
                <c:pt idx="5">
                  <c:v>317.05222222222227</c:v>
                </c:pt>
                <c:pt idx="6">
                  <c:v>419.61904761904759</c:v>
                </c:pt>
                <c:pt idx="7">
                  <c:v>211.25</c:v>
                </c:pt>
                <c:pt idx="8">
                  <c:v>90.611111111111114</c:v>
                </c:pt>
                <c:pt idx="9">
                  <c:v>22.444444444444443</c:v>
                </c:pt>
                <c:pt idx="10">
                  <c:v>3.1740740740740745</c:v>
                </c:pt>
                <c:pt idx="11">
                  <c:v>1.4592592592592593</c:v>
                </c:pt>
                <c:pt idx="12">
                  <c:v>24.515999999999998</c:v>
                </c:pt>
                <c:pt idx="13">
                  <c:v>102.76399999999998</c:v>
                </c:pt>
                <c:pt idx="14">
                  <c:v>289.66999999999996</c:v>
                </c:pt>
                <c:pt idx="15">
                  <c:v>562.20299999999997</c:v>
                </c:pt>
                <c:pt idx="16">
                  <c:v>376.45699999999999</c:v>
                </c:pt>
                <c:pt idx="17">
                  <c:v>209.68333333333334</c:v>
                </c:pt>
                <c:pt idx="18">
                  <c:v>72.423666666666662</c:v>
                </c:pt>
                <c:pt idx="19">
                  <c:v>20.164000000000001</c:v>
                </c:pt>
                <c:pt idx="20">
                  <c:v>5.6859999999999999</c:v>
                </c:pt>
                <c:pt idx="21">
                  <c:v>49.160333333333334</c:v>
                </c:pt>
                <c:pt idx="22">
                  <c:v>77.079333333333338</c:v>
                </c:pt>
                <c:pt idx="23">
                  <c:v>75.210000000000008</c:v>
                </c:pt>
                <c:pt idx="24">
                  <c:v>101.15842857142857</c:v>
                </c:pt>
                <c:pt idx="25">
                  <c:v>51.863761904761908</c:v>
                </c:pt>
                <c:pt idx="26">
                  <c:v>7.2023333333333328</c:v>
                </c:pt>
                <c:pt idx="27">
                  <c:v>4.2960000000000003</c:v>
                </c:pt>
                <c:pt idx="28">
                  <c:v>29.364666666666665</c:v>
                </c:pt>
                <c:pt idx="29">
                  <c:v>85.449333333333328</c:v>
                </c:pt>
                <c:pt idx="30">
                  <c:v>90.18542857142856</c:v>
                </c:pt>
                <c:pt idx="31">
                  <c:v>97.751571428571438</c:v>
                </c:pt>
                <c:pt idx="32">
                  <c:v>120.60666666666668</c:v>
                </c:pt>
                <c:pt idx="33">
                  <c:v>107.32233333333333</c:v>
                </c:pt>
                <c:pt idx="34">
                  <c:v>90.433999999999997</c:v>
                </c:pt>
                <c:pt idx="35">
                  <c:v>38.55652380952381</c:v>
                </c:pt>
                <c:pt idx="36">
                  <c:v>99.950476190476195</c:v>
                </c:pt>
                <c:pt idx="37">
                  <c:v>138.16714285714286</c:v>
                </c:pt>
                <c:pt idx="38">
                  <c:v>157.87285714285713</c:v>
                </c:pt>
                <c:pt idx="39">
                  <c:v>196.37666666666667</c:v>
                </c:pt>
                <c:pt idx="40">
                  <c:v>137.77333333333334</c:v>
                </c:pt>
                <c:pt idx="41">
                  <c:v>156.72999999999999</c:v>
                </c:pt>
                <c:pt idx="42">
                  <c:v>138.42708333333331</c:v>
                </c:pt>
                <c:pt idx="43">
                  <c:v>66.572916666666671</c:v>
                </c:pt>
                <c:pt idx="44">
                  <c:v>58.90625</c:v>
                </c:pt>
                <c:pt idx="45">
                  <c:v>43.552956349206347</c:v>
                </c:pt>
                <c:pt idx="46">
                  <c:v>19.170357142857142</c:v>
                </c:pt>
                <c:pt idx="47">
                  <c:v>13.175000000000001</c:v>
                </c:pt>
              </c:numCache>
            </c:numRef>
          </c:val>
          <c:smooth val="0"/>
          <c:extLst>
            <c:ext xmlns:c16="http://schemas.microsoft.com/office/drawing/2014/chart" uri="{C3380CC4-5D6E-409C-BE32-E72D297353CC}">
              <c16:uniqueId val="{00000000-13A2-46F1-BFDD-51ED28A3FBB7}"/>
            </c:ext>
          </c:extLst>
        </c:ser>
        <c:ser>
          <c:idx val="0"/>
          <c:order val="1"/>
          <c:tx>
            <c:strRef>
              <c:f>コカクモンSE!$D$6</c:f>
              <c:strCache>
                <c:ptCount val="1"/>
                <c:pt idx="0">
                  <c:v>2026年</c:v>
                </c:pt>
              </c:strCache>
            </c:strRef>
          </c:tx>
          <c:spPr>
            <a:ln w="25400">
              <a:solidFill>
                <a:srgbClr val="0000FF"/>
              </a:solidFill>
              <a:prstDash val="solid"/>
            </a:ln>
          </c:spPr>
          <c:marker>
            <c:symbol val="circle"/>
            <c:size val="8"/>
            <c:spPr>
              <a:solidFill>
                <a:srgbClr val="0000FF"/>
              </a:solidFill>
              <a:ln>
                <a:solidFill>
                  <a:srgbClr val="0000FF"/>
                </a:solidFill>
                <a:prstDash val="solid"/>
              </a:ln>
            </c:spPr>
          </c:marker>
          <c:cat>
            <c:strRef>
              <c:f>コカクモンSE!$B$14:$B$61</c:f>
              <c:strCache>
                <c:ptCount val="45"/>
                <c:pt idx="2">
                  <c:v>4月</c:v>
                </c:pt>
                <c:pt idx="8">
                  <c:v>5月</c:v>
                </c:pt>
                <c:pt idx="14">
                  <c:v>6月</c:v>
                </c:pt>
                <c:pt idx="20">
                  <c:v>7月</c:v>
                </c:pt>
                <c:pt idx="26">
                  <c:v>8月</c:v>
                </c:pt>
                <c:pt idx="32">
                  <c:v>9月</c:v>
                </c:pt>
                <c:pt idx="38">
                  <c:v>10月</c:v>
                </c:pt>
                <c:pt idx="44">
                  <c:v>11月</c:v>
                </c:pt>
              </c:strCache>
            </c:strRef>
          </c:cat>
          <c:val>
            <c:numRef>
              <c:f>コカクモンSE!$AU$14:$AU$61</c:f>
              <c:numCache>
                <c:formatCode>General</c:formatCode>
                <c:ptCount val="48"/>
                <c:pt idx="0">
                  <c:v>23</c:v>
                </c:pt>
                <c:pt idx="1">
                  <c:v>95</c:v>
                </c:pt>
                <c:pt idx="2">
                  <c:v>273.33333333333331</c:v>
                </c:pt>
                <c:pt idx="3">
                  <c:v>270</c:v>
                </c:pt>
                <c:pt idx="4">
                  <c:v>200</c:v>
                </c:pt>
                <c:pt idx="5">
                  <c:v>186.25</c:v>
                </c:pt>
                <c:pt idx="6">
                  <c:v>95</c:v>
                </c:pt>
                <c:pt idx="7">
                  <c:v>28</c:v>
                </c:pt>
                <c:pt idx="8">
                  <c:v>5.833333333333333</c:v>
                </c:pt>
                <c:pt idx="9">
                  <c:v>0</c:v>
                </c:pt>
                <c:pt idx="10">
                  <c:v>0</c:v>
                </c:pt>
                <c:pt idx="11">
                  <c:v>15</c:v>
                </c:pt>
                <c:pt idx="12">
                  <c:v>47.142857142857146</c:v>
                </c:pt>
                <c:pt idx="13">
                  <c:v>246.66666666666666</c:v>
                </c:pt>
                <c:pt idx="14">
                  <c:v>261</c:v>
                </c:pt>
                <c:pt idx="15">
                  <c:v>228.33333333333334</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numCache>
            </c:numRef>
          </c:val>
          <c:smooth val="0"/>
          <c:extLst>
            <c:ext xmlns:c16="http://schemas.microsoft.com/office/drawing/2014/chart" uri="{C3380CC4-5D6E-409C-BE32-E72D297353CC}">
              <c16:uniqueId val="{00000001-13A2-46F1-BFDD-51ED28A3FBB7}"/>
            </c:ext>
          </c:extLst>
        </c:ser>
        <c:dLbls>
          <c:showLegendKey val="0"/>
          <c:showVal val="0"/>
          <c:showCatName val="0"/>
          <c:showSerName val="0"/>
          <c:showPercent val="0"/>
          <c:showBubbleSize val="0"/>
        </c:dLbls>
        <c:marker val="1"/>
        <c:smooth val="0"/>
        <c:axId val="700300720"/>
        <c:axId val="700291704"/>
      </c:lineChart>
      <c:catAx>
        <c:axId val="700300720"/>
        <c:scaling>
          <c:orientation val="minMax"/>
        </c:scaling>
        <c:delete val="0"/>
        <c:axPos val="b"/>
        <c:majorGridlines>
          <c:spPr>
            <a:ln w="3175">
              <a:solidFill>
                <a:srgbClr val="000000"/>
              </a:solidFill>
              <a:prstDash val="solid"/>
            </a:ln>
          </c:spPr>
        </c:majorGridlines>
        <c:numFmt formatCode="General" sourceLinked="1"/>
        <c:majorTickMark val="in"/>
        <c:minorTickMark val="none"/>
        <c:tickLblPos val="nextTo"/>
        <c:spPr>
          <a:ln w="3175">
            <a:solidFill>
              <a:srgbClr val="000000"/>
            </a:solidFill>
            <a:prstDash val="solid"/>
          </a:ln>
        </c:spPr>
        <c:txPr>
          <a:bodyPr rot="0" vert="horz"/>
          <a:lstStyle/>
          <a:p>
            <a:pPr>
              <a:defRPr/>
            </a:pPr>
            <a:endParaRPr lang="ja-JP"/>
          </a:p>
        </c:txPr>
        <c:crossAx val="700291704"/>
        <c:crosses val="autoZero"/>
        <c:auto val="1"/>
        <c:lblAlgn val="ctr"/>
        <c:lblOffset val="100"/>
        <c:tickLblSkip val="2"/>
        <c:tickMarkSkip val="6"/>
        <c:noMultiLvlLbl val="0"/>
      </c:catAx>
      <c:valAx>
        <c:axId val="700291704"/>
        <c:scaling>
          <c:orientation val="minMax"/>
          <c:max val="700"/>
          <c:min val="0"/>
        </c:scaling>
        <c:delete val="0"/>
        <c:axPos val="l"/>
        <c:majorGridlines>
          <c:spPr>
            <a:ln w="3175">
              <a:solidFill>
                <a:srgbClr val="000000"/>
              </a:solidFill>
              <a:prstDash val="solid"/>
            </a:ln>
          </c:spPr>
        </c:majorGridlines>
        <c:title>
          <c:tx>
            <c:rich>
              <a:bodyPr/>
              <a:lstStyle/>
              <a:p>
                <a:pPr>
                  <a:defRPr/>
                </a:pPr>
                <a:r>
                  <a:rPr lang="ja-JP" altLang="en-US"/>
                  <a:t>成虫誘殺数（頭</a:t>
                </a:r>
                <a:r>
                  <a:rPr lang="en-US" altLang="ja-JP"/>
                  <a:t>/</a:t>
                </a:r>
                <a:r>
                  <a:rPr lang="ja-JP" altLang="en-US"/>
                  <a:t>半旬）</a:t>
                </a:r>
              </a:p>
            </c:rich>
          </c:tx>
          <c:overlay val="0"/>
        </c:title>
        <c:numFmt formatCode="General" sourceLinked="0"/>
        <c:majorTickMark val="in"/>
        <c:minorTickMark val="none"/>
        <c:tickLblPos val="nextTo"/>
        <c:spPr>
          <a:ln w="3175">
            <a:solidFill>
              <a:srgbClr val="000000"/>
            </a:solidFill>
            <a:prstDash val="solid"/>
          </a:ln>
        </c:spPr>
        <c:txPr>
          <a:bodyPr rot="0" vert="horz"/>
          <a:lstStyle/>
          <a:p>
            <a:pPr>
              <a:defRPr sz="1900"/>
            </a:pPr>
            <a:endParaRPr lang="ja-JP"/>
          </a:p>
        </c:txPr>
        <c:crossAx val="700300720"/>
        <c:crosses val="autoZero"/>
        <c:crossBetween val="between"/>
        <c:majorUnit val="200"/>
      </c:valAx>
      <c:spPr>
        <a:noFill/>
        <a:ln w="12700">
          <a:solidFill>
            <a:sysClr val="windowText" lastClr="000000"/>
          </a:solidFill>
          <a:prstDash val="solid"/>
        </a:ln>
      </c:spPr>
    </c:plotArea>
    <c:legend>
      <c:legendPos val="r"/>
      <c:layout>
        <c:manualLayout>
          <c:xMode val="edge"/>
          <c:yMode val="edge"/>
          <c:x val="0.52701014462790585"/>
          <c:y val="0.18741942064892536"/>
          <c:w val="0.25639530185191839"/>
          <c:h val="0.18749270582383551"/>
        </c:manualLayout>
      </c:layout>
      <c:overlay val="0"/>
      <c:spPr>
        <a:solidFill>
          <a:srgbClr val="FFFFFF"/>
        </a:solidFill>
        <a:ln w="3175">
          <a:solidFill>
            <a:srgbClr val="000000"/>
          </a:solidFill>
          <a:prstDash val="solid"/>
        </a:ln>
      </c:spPr>
    </c:legend>
    <c:plotVisOnly val="1"/>
    <c:dispBlanksAs val="gap"/>
    <c:showDLblsOverMax val="0"/>
  </c:chart>
  <c:spPr>
    <a:noFill/>
    <a:ln w="3175">
      <a:noFill/>
      <a:prstDash val="solid"/>
    </a:ln>
  </c:spPr>
  <c:txPr>
    <a:bodyPr/>
    <a:lstStyle/>
    <a:p>
      <a:pPr>
        <a:defRPr sz="2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defRPr>
      </a:pPr>
      <a:endParaRPr lang="ja-JP"/>
    </a:p>
  </c:txPr>
  <c:printSettings>
    <c:headerFooter alignWithMargins="0"/>
    <c:pageMargins b="1" l="0.75" r="0.75" t="1" header="0.51200000000000001" footer="0.51200000000000001"/>
    <c:pageSetup orientation="landscape"/>
  </c:printSettings>
  <c:userShapes r:id="rId1"/>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ＭＳ Ｐゴシック"/>
                <a:ea typeface="ＭＳ Ｐゴシック"/>
                <a:cs typeface="ＭＳ Ｐゴシック"/>
              </a:defRPr>
            </a:pPr>
            <a:r>
              <a:rPr lang="ja-JP" altLang="en-US"/>
              <a:t>チャノキイロアザミウマ　発生消長</a:t>
            </a:r>
          </a:p>
        </c:rich>
      </c:tx>
      <c:layout>
        <c:manualLayout>
          <c:xMode val="edge"/>
          <c:yMode val="edge"/>
          <c:x val="0.30612261379415484"/>
          <c:y val="2.7823240589198037E-2"/>
        </c:manualLayout>
      </c:layout>
      <c:overlay val="0"/>
      <c:spPr>
        <a:noFill/>
        <a:ln w="25400">
          <a:noFill/>
        </a:ln>
      </c:spPr>
    </c:title>
    <c:autoTitleDeleted val="0"/>
    <c:plotArea>
      <c:layout>
        <c:manualLayout>
          <c:layoutTarget val="inner"/>
          <c:xMode val="edge"/>
          <c:yMode val="edge"/>
          <c:x val="0.13814767261368646"/>
          <c:y val="8.8379705400982E-2"/>
          <c:w val="0.83202575551424796"/>
          <c:h val="0.83633387888707034"/>
        </c:manualLayout>
      </c:layout>
      <c:lineChart>
        <c:grouping val="standard"/>
        <c:varyColors val="0"/>
        <c:ser>
          <c:idx val="0"/>
          <c:order val="0"/>
          <c:tx>
            <c:strRef>
              <c:f>アザミウマ!$D$5</c:f>
              <c:strCache>
                <c:ptCount val="1"/>
                <c:pt idx="0">
                  <c:v>2016年</c:v>
                </c:pt>
              </c:strCache>
            </c:strRef>
          </c:tx>
          <c:spPr>
            <a:ln w="12700">
              <a:solidFill>
                <a:srgbClr val="0000FF"/>
              </a:solidFill>
              <a:prstDash val="solid"/>
            </a:ln>
          </c:spPr>
          <c:marker>
            <c:symbol val="circle"/>
            <c:size val="6"/>
            <c:spPr>
              <a:solidFill>
                <a:srgbClr val="0000FF"/>
              </a:solidFill>
              <a:ln>
                <a:solidFill>
                  <a:srgbClr val="0000FF"/>
                </a:solidFill>
                <a:prstDash val="solid"/>
              </a:ln>
            </c:spPr>
          </c:marker>
          <c:cat>
            <c:strRef>
              <c:f>アザミウマ!$B$13:$B$60</c:f>
              <c:strCache>
                <c:ptCount val="45"/>
                <c:pt idx="2">
                  <c:v>4月</c:v>
                </c:pt>
                <c:pt idx="8">
                  <c:v>5月</c:v>
                </c:pt>
                <c:pt idx="14">
                  <c:v>6月</c:v>
                </c:pt>
                <c:pt idx="20">
                  <c:v>7月</c:v>
                </c:pt>
                <c:pt idx="26">
                  <c:v>8月</c:v>
                </c:pt>
                <c:pt idx="32">
                  <c:v>9月</c:v>
                </c:pt>
                <c:pt idx="38">
                  <c:v>10月</c:v>
                </c:pt>
                <c:pt idx="44">
                  <c:v>11月</c:v>
                </c:pt>
              </c:strCache>
            </c:strRef>
          </c:cat>
          <c:val>
            <c:numRef>
              <c:f>アザミウマ!$D$13:$D$60</c:f>
              <c:numCache>
                <c:formatCode>0;;0</c:formatCode>
                <c:ptCount val="48"/>
                <c:pt idx="0">
                  <c:v>109</c:v>
                </c:pt>
                <c:pt idx="1">
                  <c:v>165</c:v>
                </c:pt>
                <c:pt idx="2">
                  <c:v>36.200000000000003</c:v>
                </c:pt>
                <c:pt idx="3">
                  <c:v>76</c:v>
                </c:pt>
                <c:pt idx="4">
                  <c:v>100.1</c:v>
                </c:pt>
                <c:pt idx="5">
                  <c:v>196.7</c:v>
                </c:pt>
                <c:pt idx="6">
                  <c:v>253</c:v>
                </c:pt>
                <c:pt idx="7">
                  <c:v>541</c:v>
                </c:pt>
                <c:pt idx="8">
                  <c:v>1785</c:v>
                </c:pt>
                <c:pt idx="9">
                  <c:v>1559</c:v>
                </c:pt>
                <c:pt idx="10">
                  <c:v>1238</c:v>
                </c:pt>
                <c:pt idx="11">
                  <c:v>747</c:v>
                </c:pt>
                <c:pt idx="12">
                  <c:v>330</c:v>
                </c:pt>
                <c:pt idx="13">
                  <c:v>1029.7</c:v>
                </c:pt>
                <c:pt idx="14">
                  <c:v>2433</c:v>
                </c:pt>
                <c:pt idx="15">
                  <c:v>2733.5</c:v>
                </c:pt>
                <c:pt idx="16">
                  <c:v>1535.2</c:v>
                </c:pt>
                <c:pt idx="17">
                  <c:v>1365.3</c:v>
                </c:pt>
                <c:pt idx="18">
                  <c:v>666</c:v>
                </c:pt>
                <c:pt idx="19">
                  <c:v>288</c:v>
                </c:pt>
                <c:pt idx="20">
                  <c:v>325.3</c:v>
                </c:pt>
                <c:pt idx="21">
                  <c:v>126.7</c:v>
                </c:pt>
                <c:pt idx="22">
                  <c:v>273</c:v>
                </c:pt>
                <c:pt idx="23">
                  <c:v>1538</c:v>
                </c:pt>
                <c:pt idx="24">
                  <c:v>906.7</c:v>
                </c:pt>
                <c:pt idx="25">
                  <c:v>509.6</c:v>
                </c:pt>
                <c:pt idx="26">
                  <c:v>581.70000000000005</c:v>
                </c:pt>
                <c:pt idx="27">
                  <c:v>2357.5</c:v>
                </c:pt>
                <c:pt idx="28">
                  <c:v>2015.5</c:v>
                </c:pt>
                <c:pt idx="29">
                  <c:v>496</c:v>
                </c:pt>
                <c:pt idx="30">
                  <c:v>426</c:v>
                </c:pt>
                <c:pt idx="31">
                  <c:v>602.9</c:v>
                </c:pt>
                <c:pt idx="32">
                  <c:v>479.1</c:v>
                </c:pt>
                <c:pt idx="33">
                  <c:v>126</c:v>
                </c:pt>
                <c:pt idx="34">
                  <c:v>92</c:v>
                </c:pt>
                <c:pt idx="35">
                  <c:v>155.69999999999999</c:v>
                </c:pt>
                <c:pt idx="36">
                  <c:v>115.5</c:v>
                </c:pt>
                <c:pt idx="37">
                  <c:v>88.8</c:v>
                </c:pt>
                <c:pt idx="38">
                  <c:v>25.7</c:v>
                </c:pt>
                <c:pt idx="39">
                  <c:v>52.3</c:v>
                </c:pt>
                <c:pt idx="40">
                  <c:v>9.9</c:v>
                </c:pt>
                <c:pt idx="41">
                  <c:v>17.100000000000001</c:v>
                </c:pt>
                <c:pt idx="42">
                  <c:v>2.5</c:v>
                </c:pt>
                <c:pt idx="43">
                  <c:v>6.5</c:v>
                </c:pt>
                <c:pt idx="44">
                  <c:v>6</c:v>
                </c:pt>
                <c:pt idx="45">
                  <c:v>1</c:v>
                </c:pt>
                <c:pt idx="46">
                  <c:v>0</c:v>
                </c:pt>
                <c:pt idx="47">
                  <c:v>0</c:v>
                </c:pt>
              </c:numCache>
            </c:numRef>
          </c:val>
          <c:smooth val="0"/>
          <c:extLst>
            <c:ext xmlns:c16="http://schemas.microsoft.com/office/drawing/2014/chart" uri="{C3380CC4-5D6E-409C-BE32-E72D297353CC}">
              <c16:uniqueId val="{00000000-3EF9-4741-AD94-C49470DF8F77}"/>
            </c:ext>
          </c:extLst>
        </c:ser>
        <c:ser>
          <c:idx val="1"/>
          <c:order val="1"/>
          <c:tx>
            <c:strRef>
              <c:f>アザミウマ!$F$5</c:f>
              <c:strCache>
                <c:ptCount val="1"/>
                <c:pt idx="0">
                  <c:v>平年（過去10年）</c:v>
                </c:pt>
              </c:strCache>
            </c:strRef>
          </c:tx>
          <c:spPr>
            <a:ln w="12700">
              <a:solidFill>
                <a:srgbClr val="FF00FF"/>
              </a:solidFill>
              <a:prstDash val="solid"/>
            </a:ln>
          </c:spPr>
          <c:marker>
            <c:symbol val="triangle"/>
            <c:size val="6"/>
            <c:spPr>
              <a:solidFill>
                <a:srgbClr val="FF00FF"/>
              </a:solidFill>
              <a:ln>
                <a:solidFill>
                  <a:srgbClr val="FF00FF"/>
                </a:solidFill>
                <a:prstDash val="solid"/>
              </a:ln>
            </c:spPr>
          </c:marker>
          <c:cat>
            <c:strRef>
              <c:f>アザミウマ!$B$13:$B$60</c:f>
              <c:strCache>
                <c:ptCount val="45"/>
                <c:pt idx="2">
                  <c:v>4月</c:v>
                </c:pt>
                <c:pt idx="8">
                  <c:v>5月</c:v>
                </c:pt>
                <c:pt idx="14">
                  <c:v>6月</c:v>
                </c:pt>
                <c:pt idx="20">
                  <c:v>7月</c:v>
                </c:pt>
                <c:pt idx="26">
                  <c:v>8月</c:v>
                </c:pt>
                <c:pt idx="32">
                  <c:v>9月</c:v>
                </c:pt>
                <c:pt idx="38">
                  <c:v>10月</c:v>
                </c:pt>
                <c:pt idx="44">
                  <c:v>11月</c:v>
                </c:pt>
              </c:strCache>
            </c:strRef>
          </c:cat>
          <c:val>
            <c:numRef>
              <c:f>アザミウマ!$F$13:$F$60</c:f>
              <c:numCache>
                <c:formatCode>#,##0.0;[Red]\-#,##0.0</c:formatCode>
                <c:ptCount val="48"/>
                <c:pt idx="0">
                  <c:v>109</c:v>
                </c:pt>
                <c:pt idx="1">
                  <c:v>165</c:v>
                </c:pt>
                <c:pt idx="2">
                  <c:v>36.200000000000003</c:v>
                </c:pt>
                <c:pt idx="3">
                  <c:v>76</c:v>
                </c:pt>
                <c:pt idx="4">
                  <c:v>100.1</c:v>
                </c:pt>
                <c:pt idx="5">
                  <c:v>196.7</c:v>
                </c:pt>
                <c:pt idx="6">
                  <c:v>253</c:v>
                </c:pt>
                <c:pt idx="7">
                  <c:v>541</c:v>
                </c:pt>
                <c:pt idx="8">
                  <c:v>1785</c:v>
                </c:pt>
                <c:pt idx="9">
                  <c:v>1559</c:v>
                </c:pt>
                <c:pt idx="10">
                  <c:v>1238</c:v>
                </c:pt>
                <c:pt idx="11">
                  <c:v>747</c:v>
                </c:pt>
                <c:pt idx="12">
                  <c:v>330</c:v>
                </c:pt>
                <c:pt idx="13">
                  <c:v>1029.7</c:v>
                </c:pt>
                <c:pt idx="14">
                  <c:v>2433</c:v>
                </c:pt>
                <c:pt idx="15">
                  <c:v>2733.5</c:v>
                </c:pt>
                <c:pt idx="16">
                  <c:v>1535.2</c:v>
                </c:pt>
                <c:pt idx="17">
                  <c:v>1365.3</c:v>
                </c:pt>
                <c:pt idx="18">
                  <c:v>666</c:v>
                </c:pt>
                <c:pt idx="19">
                  <c:v>288</c:v>
                </c:pt>
                <c:pt idx="20">
                  <c:v>325.3</c:v>
                </c:pt>
                <c:pt idx="21">
                  <c:v>126.7</c:v>
                </c:pt>
                <c:pt idx="22">
                  <c:v>273</c:v>
                </c:pt>
                <c:pt idx="23">
                  <c:v>1538</c:v>
                </c:pt>
                <c:pt idx="24">
                  <c:v>906.7</c:v>
                </c:pt>
                <c:pt idx="25">
                  <c:v>509.6</c:v>
                </c:pt>
                <c:pt idx="26">
                  <c:v>581.70000000000005</c:v>
                </c:pt>
                <c:pt idx="27">
                  <c:v>2357.5</c:v>
                </c:pt>
                <c:pt idx="28">
                  <c:v>2015.5</c:v>
                </c:pt>
                <c:pt idx="29">
                  <c:v>496</c:v>
                </c:pt>
                <c:pt idx="30">
                  <c:v>426</c:v>
                </c:pt>
                <c:pt idx="31">
                  <c:v>602.9</c:v>
                </c:pt>
                <c:pt idx="32">
                  <c:v>479.1</c:v>
                </c:pt>
                <c:pt idx="33">
                  <c:v>126</c:v>
                </c:pt>
                <c:pt idx="34">
                  <c:v>92</c:v>
                </c:pt>
                <c:pt idx="35">
                  <c:v>155.69999999999999</c:v>
                </c:pt>
                <c:pt idx="36">
                  <c:v>115.5</c:v>
                </c:pt>
                <c:pt idx="37">
                  <c:v>88.8</c:v>
                </c:pt>
                <c:pt idx="38">
                  <c:v>25.7</c:v>
                </c:pt>
                <c:pt idx="39">
                  <c:v>52.3</c:v>
                </c:pt>
                <c:pt idx="40">
                  <c:v>9.9</c:v>
                </c:pt>
                <c:pt idx="41">
                  <c:v>17.100000000000001</c:v>
                </c:pt>
                <c:pt idx="42">
                  <c:v>2.5</c:v>
                </c:pt>
                <c:pt idx="43">
                  <c:v>6.5</c:v>
                </c:pt>
                <c:pt idx="44">
                  <c:v>6</c:v>
                </c:pt>
                <c:pt idx="45">
                  <c:v>1</c:v>
                </c:pt>
                <c:pt idx="46">
                  <c:v>0</c:v>
                </c:pt>
                <c:pt idx="47">
                  <c:v>0</c:v>
                </c:pt>
              </c:numCache>
            </c:numRef>
          </c:val>
          <c:smooth val="0"/>
          <c:extLst>
            <c:ext xmlns:c16="http://schemas.microsoft.com/office/drawing/2014/chart" uri="{C3380CC4-5D6E-409C-BE32-E72D297353CC}">
              <c16:uniqueId val="{00000001-3EF9-4741-AD94-C49470DF8F77}"/>
            </c:ext>
          </c:extLst>
        </c:ser>
        <c:ser>
          <c:idx val="2"/>
          <c:order val="2"/>
          <c:tx>
            <c:strRef>
              <c:f>アザミウマ!$H$5:$K$5</c:f>
              <c:strCache>
                <c:ptCount val="1"/>
                <c:pt idx="0">
                  <c:v>2011年 ～ 2015年 (5ヶ年平均)</c:v>
                </c:pt>
              </c:strCache>
            </c:strRef>
          </c:tx>
          <c:spPr>
            <a:ln w="12700">
              <a:solidFill>
                <a:srgbClr val="00FF00"/>
              </a:solidFill>
              <a:prstDash val="solid"/>
            </a:ln>
          </c:spPr>
          <c:marker>
            <c:symbol val="square"/>
            <c:size val="6"/>
            <c:spPr>
              <a:solidFill>
                <a:srgbClr val="00FF00"/>
              </a:solidFill>
              <a:ln>
                <a:solidFill>
                  <a:srgbClr val="00FF00"/>
                </a:solidFill>
                <a:prstDash val="solid"/>
              </a:ln>
            </c:spPr>
          </c:marker>
          <c:cat>
            <c:strRef>
              <c:f>アザミウマ!$B$13:$B$60</c:f>
              <c:strCache>
                <c:ptCount val="45"/>
                <c:pt idx="2">
                  <c:v>4月</c:v>
                </c:pt>
                <c:pt idx="8">
                  <c:v>5月</c:v>
                </c:pt>
                <c:pt idx="14">
                  <c:v>6月</c:v>
                </c:pt>
                <c:pt idx="20">
                  <c:v>7月</c:v>
                </c:pt>
                <c:pt idx="26">
                  <c:v>8月</c:v>
                </c:pt>
                <c:pt idx="32">
                  <c:v>9月</c:v>
                </c:pt>
                <c:pt idx="38">
                  <c:v>10月</c:v>
                </c:pt>
                <c:pt idx="44">
                  <c:v>11月</c:v>
                </c:pt>
              </c:strCache>
            </c:strRef>
          </c:cat>
          <c:val>
            <c:numRef>
              <c:f>アザミウマ!$J$13:$J$60</c:f>
              <c:numCache>
                <c:formatCode>#,##0.0;[Red]\-#,##0.0</c:formatCode>
                <c:ptCount val="48"/>
              </c:numCache>
            </c:numRef>
          </c:val>
          <c:smooth val="0"/>
          <c:extLst>
            <c:ext xmlns:c16="http://schemas.microsoft.com/office/drawing/2014/chart" uri="{C3380CC4-5D6E-409C-BE32-E72D297353CC}">
              <c16:uniqueId val="{00000002-3EF9-4741-AD94-C49470DF8F77}"/>
            </c:ext>
          </c:extLst>
        </c:ser>
        <c:dLbls>
          <c:showLegendKey val="0"/>
          <c:showVal val="0"/>
          <c:showCatName val="0"/>
          <c:showSerName val="0"/>
          <c:showPercent val="0"/>
          <c:showBubbleSize val="0"/>
        </c:dLbls>
        <c:marker val="1"/>
        <c:smooth val="0"/>
        <c:axId val="701175064"/>
        <c:axId val="701171928"/>
      </c:lineChart>
      <c:catAx>
        <c:axId val="701175064"/>
        <c:scaling>
          <c:orientation val="minMax"/>
        </c:scaling>
        <c:delete val="0"/>
        <c:axPos val="b"/>
        <c:majorGridlines>
          <c:spPr>
            <a:ln w="3175">
              <a:solidFill>
                <a:srgbClr val="000000"/>
              </a:solidFill>
              <a:prstDash val="solid"/>
            </a:ln>
          </c:spPr>
        </c:majorGridlines>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01171928"/>
        <c:crosses val="autoZero"/>
        <c:auto val="1"/>
        <c:lblAlgn val="ctr"/>
        <c:lblOffset val="100"/>
        <c:tickLblSkip val="2"/>
        <c:tickMarkSkip val="6"/>
        <c:noMultiLvlLbl val="0"/>
      </c:catAx>
      <c:valAx>
        <c:axId val="701171928"/>
        <c:scaling>
          <c:orientation val="minMax"/>
          <c:min val="0"/>
        </c:scaling>
        <c:delete val="0"/>
        <c:axPos val="l"/>
        <c:majorGridlines>
          <c:spPr>
            <a:ln w="3175">
              <a:solidFill>
                <a:srgbClr val="000000"/>
              </a:solidFill>
              <a:prstDash val="solid"/>
            </a:ln>
          </c:spPr>
        </c:majorGridlines>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捕殺数（匹）</a:t>
                </a:r>
              </a:p>
            </c:rich>
          </c:tx>
          <c:layout>
            <c:manualLayout>
              <c:xMode val="edge"/>
              <c:yMode val="edge"/>
              <c:x val="4.3956043956043959E-2"/>
              <c:y val="0.44844517184942717"/>
            </c:manualLayout>
          </c:layout>
          <c:overlay val="0"/>
          <c:spPr>
            <a:noFill/>
            <a:ln w="25400">
              <a:noFill/>
            </a:ln>
          </c:spPr>
        </c:title>
        <c:numFmt formatCode="0;;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01175064"/>
        <c:crosses val="autoZero"/>
        <c:crossBetween val="between"/>
      </c:valAx>
      <c:spPr>
        <a:noFill/>
        <a:ln w="12700">
          <a:solidFill>
            <a:srgbClr val="808080"/>
          </a:solidFill>
          <a:prstDash val="solid"/>
        </a:ln>
      </c:spPr>
    </c:plotArea>
    <c:legend>
      <c:legendPos val="r"/>
      <c:layout>
        <c:manualLayout>
          <c:xMode val="edge"/>
          <c:yMode val="edge"/>
          <c:x val="0.1664051883624437"/>
          <c:y val="0.10474631751227496"/>
          <c:w val="0.36263769226648868"/>
          <c:h val="0.10801963993453355"/>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5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orientation="landscape" verticalDpi="1200"/>
  </c:printSettings>
  <c:userShapes r:id="rId1"/>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ＭＳ Ｐゴシック"/>
                <a:ea typeface="ＭＳ Ｐゴシック"/>
                <a:cs typeface="ＭＳ Ｐゴシック"/>
              </a:defRPr>
            </a:pPr>
            <a:r>
              <a:rPr lang="ja-JP" altLang="en-US"/>
              <a:t>チャノミドリヒメヨコバイ　発生消長</a:t>
            </a:r>
          </a:p>
        </c:rich>
      </c:tx>
      <c:layout>
        <c:manualLayout>
          <c:xMode val="edge"/>
          <c:yMode val="edge"/>
          <c:x val="0.30503194176199672"/>
          <c:y val="2.7868852459016394E-2"/>
        </c:manualLayout>
      </c:layout>
      <c:overlay val="0"/>
      <c:spPr>
        <a:noFill/>
        <a:ln w="25400">
          <a:noFill/>
        </a:ln>
      </c:spPr>
    </c:title>
    <c:autoTitleDeleted val="0"/>
    <c:plotArea>
      <c:layout>
        <c:manualLayout>
          <c:layoutTarget val="inner"/>
          <c:xMode val="edge"/>
          <c:yMode val="edge"/>
          <c:x val="0.11478005045580664"/>
          <c:y val="9.3442697748061077E-2"/>
          <c:w val="0.85534722531450424"/>
          <c:h val="0.83606624300896759"/>
        </c:manualLayout>
      </c:layout>
      <c:lineChart>
        <c:grouping val="standard"/>
        <c:varyColors val="0"/>
        <c:ser>
          <c:idx val="0"/>
          <c:order val="0"/>
          <c:tx>
            <c:strRef>
              <c:f>ヨコバイ!$D$5</c:f>
              <c:strCache>
                <c:ptCount val="1"/>
                <c:pt idx="0">
                  <c:v>2017年</c:v>
                </c:pt>
              </c:strCache>
            </c:strRef>
          </c:tx>
          <c:spPr>
            <a:ln w="12700">
              <a:solidFill>
                <a:srgbClr val="0000FF"/>
              </a:solidFill>
              <a:prstDash val="solid"/>
            </a:ln>
          </c:spPr>
          <c:marker>
            <c:symbol val="circle"/>
            <c:size val="6"/>
            <c:spPr>
              <a:solidFill>
                <a:srgbClr val="0000FF"/>
              </a:solidFill>
              <a:ln>
                <a:solidFill>
                  <a:srgbClr val="0000FF"/>
                </a:solidFill>
                <a:prstDash val="solid"/>
              </a:ln>
            </c:spPr>
          </c:marker>
          <c:cat>
            <c:strRef>
              <c:f>ヨコバイ!$B$13:$B$60</c:f>
              <c:strCache>
                <c:ptCount val="45"/>
                <c:pt idx="2">
                  <c:v>4月</c:v>
                </c:pt>
                <c:pt idx="8">
                  <c:v>5月</c:v>
                </c:pt>
                <c:pt idx="14">
                  <c:v>6月</c:v>
                </c:pt>
                <c:pt idx="20">
                  <c:v>7月</c:v>
                </c:pt>
                <c:pt idx="26">
                  <c:v>8月</c:v>
                </c:pt>
                <c:pt idx="32">
                  <c:v>9月</c:v>
                </c:pt>
                <c:pt idx="38">
                  <c:v>10月</c:v>
                </c:pt>
                <c:pt idx="44">
                  <c:v>11月</c:v>
                </c:pt>
              </c:strCache>
            </c:strRef>
          </c:cat>
          <c:val>
            <c:numRef>
              <c:f>ヨコバイ!$D$13:$D$60</c:f>
              <c:numCache>
                <c:formatCode>0;;0</c:formatCode>
                <c:ptCount val="4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numCache>
            </c:numRef>
          </c:val>
          <c:smooth val="0"/>
          <c:extLst>
            <c:ext xmlns:c16="http://schemas.microsoft.com/office/drawing/2014/chart" uri="{C3380CC4-5D6E-409C-BE32-E72D297353CC}">
              <c16:uniqueId val="{00000000-80A6-47A0-AE99-AD4C7A4E7534}"/>
            </c:ext>
          </c:extLst>
        </c:ser>
        <c:ser>
          <c:idx val="1"/>
          <c:order val="1"/>
          <c:tx>
            <c:strRef>
              <c:f>ヨコバイ!$F$5</c:f>
              <c:strCache>
                <c:ptCount val="1"/>
                <c:pt idx="0">
                  <c:v>平年（過去10年）</c:v>
                </c:pt>
              </c:strCache>
            </c:strRef>
          </c:tx>
          <c:spPr>
            <a:ln w="12700">
              <a:solidFill>
                <a:srgbClr val="FF00FF"/>
              </a:solidFill>
              <a:prstDash val="solid"/>
            </a:ln>
          </c:spPr>
          <c:marker>
            <c:symbol val="triangle"/>
            <c:size val="6"/>
            <c:spPr>
              <a:solidFill>
                <a:srgbClr val="FF00FF"/>
              </a:solidFill>
              <a:ln>
                <a:solidFill>
                  <a:srgbClr val="FF00FF"/>
                </a:solidFill>
                <a:prstDash val="solid"/>
              </a:ln>
            </c:spPr>
          </c:marker>
          <c:cat>
            <c:strRef>
              <c:f>ヨコバイ!$B$13:$B$60</c:f>
              <c:strCache>
                <c:ptCount val="45"/>
                <c:pt idx="2">
                  <c:v>4月</c:v>
                </c:pt>
                <c:pt idx="8">
                  <c:v>5月</c:v>
                </c:pt>
                <c:pt idx="14">
                  <c:v>6月</c:v>
                </c:pt>
                <c:pt idx="20">
                  <c:v>7月</c:v>
                </c:pt>
                <c:pt idx="26">
                  <c:v>8月</c:v>
                </c:pt>
                <c:pt idx="32">
                  <c:v>9月</c:v>
                </c:pt>
                <c:pt idx="38">
                  <c:v>10月</c:v>
                </c:pt>
                <c:pt idx="44">
                  <c:v>11月</c:v>
                </c:pt>
              </c:strCache>
            </c:strRef>
          </c:cat>
          <c:val>
            <c:numRef>
              <c:f>ヨコバイ!$F$13:$F$60</c:f>
              <c:numCache>
                <c:formatCode>0.0;;0</c:formatCode>
                <c:ptCount val="48"/>
                <c:pt idx="0">
                  <c:v>0.4</c:v>
                </c:pt>
                <c:pt idx="1">
                  <c:v>0.18</c:v>
                </c:pt>
                <c:pt idx="2">
                  <c:v>0.3</c:v>
                </c:pt>
                <c:pt idx="3">
                  <c:v>0.6</c:v>
                </c:pt>
                <c:pt idx="4">
                  <c:v>0.3</c:v>
                </c:pt>
                <c:pt idx="5">
                  <c:v>0.4</c:v>
                </c:pt>
                <c:pt idx="6">
                  <c:v>0.5</c:v>
                </c:pt>
                <c:pt idx="7">
                  <c:v>1</c:v>
                </c:pt>
                <c:pt idx="8">
                  <c:v>0.8</c:v>
                </c:pt>
                <c:pt idx="9">
                  <c:v>2.35</c:v>
                </c:pt>
                <c:pt idx="10">
                  <c:v>2.5970000000000004</c:v>
                </c:pt>
                <c:pt idx="11">
                  <c:v>2.0593333333333335</c:v>
                </c:pt>
                <c:pt idx="12">
                  <c:v>1.1000000000000001</c:v>
                </c:pt>
                <c:pt idx="13">
                  <c:v>0.58333000000000002</c:v>
                </c:pt>
                <c:pt idx="14">
                  <c:v>0.8</c:v>
                </c:pt>
                <c:pt idx="15">
                  <c:v>1.5</c:v>
                </c:pt>
                <c:pt idx="16">
                  <c:v>1.9600000000000002</c:v>
                </c:pt>
                <c:pt idx="17">
                  <c:v>5.1930000000000005</c:v>
                </c:pt>
                <c:pt idx="18">
                  <c:v>3.2</c:v>
                </c:pt>
                <c:pt idx="19">
                  <c:v>3.0670000000000002</c:v>
                </c:pt>
                <c:pt idx="20">
                  <c:v>3</c:v>
                </c:pt>
                <c:pt idx="21">
                  <c:v>3.35</c:v>
                </c:pt>
                <c:pt idx="22">
                  <c:v>3.7700000000000005</c:v>
                </c:pt>
                <c:pt idx="23">
                  <c:v>2.0289999999999999</c:v>
                </c:pt>
                <c:pt idx="24">
                  <c:v>0.9</c:v>
                </c:pt>
                <c:pt idx="25">
                  <c:v>1.7777777777777777</c:v>
                </c:pt>
                <c:pt idx="26">
                  <c:v>3.8250000000000002</c:v>
                </c:pt>
                <c:pt idx="27">
                  <c:v>3.2299999999999995</c:v>
                </c:pt>
                <c:pt idx="28">
                  <c:v>2.87</c:v>
                </c:pt>
                <c:pt idx="29">
                  <c:v>3.383</c:v>
                </c:pt>
                <c:pt idx="30">
                  <c:v>3.87</c:v>
                </c:pt>
                <c:pt idx="31">
                  <c:v>2.113</c:v>
                </c:pt>
                <c:pt idx="32">
                  <c:v>1.417</c:v>
                </c:pt>
                <c:pt idx="33">
                  <c:v>0.9</c:v>
                </c:pt>
                <c:pt idx="34">
                  <c:v>1.1000000000000001</c:v>
                </c:pt>
                <c:pt idx="35">
                  <c:v>0.37</c:v>
                </c:pt>
                <c:pt idx="36">
                  <c:v>1.4300000000000002</c:v>
                </c:pt>
                <c:pt idx="37">
                  <c:v>1.127</c:v>
                </c:pt>
                <c:pt idx="38">
                  <c:v>0.44000000000000006</c:v>
                </c:pt>
                <c:pt idx="39">
                  <c:v>0.9</c:v>
                </c:pt>
                <c:pt idx="40">
                  <c:v>0.33500000000000002</c:v>
                </c:pt>
                <c:pt idx="41">
                  <c:v>0.215</c:v>
                </c:pt>
                <c:pt idx="42">
                  <c:v>0.2</c:v>
                </c:pt>
                <c:pt idx="43">
                  <c:v>0.28300000000000003</c:v>
                </c:pt>
                <c:pt idx="44">
                  <c:v>0.24699999999999997</c:v>
                </c:pt>
                <c:pt idx="45">
                  <c:v>0.32999999999999996</c:v>
                </c:pt>
                <c:pt idx="46">
                  <c:v>0.08</c:v>
                </c:pt>
                <c:pt idx="47">
                  <c:v>0.22000000000000003</c:v>
                </c:pt>
              </c:numCache>
            </c:numRef>
          </c:val>
          <c:smooth val="0"/>
          <c:extLst>
            <c:ext xmlns:c16="http://schemas.microsoft.com/office/drawing/2014/chart" uri="{C3380CC4-5D6E-409C-BE32-E72D297353CC}">
              <c16:uniqueId val="{00000001-80A6-47A0-AE99-AD4C7A4E7534}"/>
            </c:ext>
          </c:extLst>
        </c:ser>
        <c:ser>
          <c:idx val="2"/>
          <c:order val="2"/>
          <c:tx>
            <c:strRef>
              <c:f>ヨコバイ!$H$5:$K$5</c:f>
              <c:strCache>
                <c:ptCount val="1"/>
                <c:pt idx="0">
                  <c:v>2012年 ～ 2016年 (5ヶ年平均)</c:v>
                </c:pt>
              </c:strCache>
            </c:strRef>
          </c:tx>
          <c:spPr>
            <a:ln w="12700">
              <a:solidFill>
                <a:srgbClr val="00FF00"/>
              </a:solidFill>
              <a:prstDash val="solid"/>
            </a:ln>
          </c:spPr>
          <c:marker>
            <c:symbol val="square"/>
            <c:size val="6"/>
            <c:spPr>
              <a:solidFill>
                <a:srgbClr val="00FF00"/>
              </a:solidFill>
              <a:ln>
                <a:solidFill>
                  <a:srgbClr val="00FF00"/>
                </a:solidFill>
                <a:prstDash val="solid"/>
              </a:ln>
            </c:spPr>
          </c:marker>
          <c:cat>
            <c:strRef>
              <c:f>ヨコバイ!$B$13:$B$60</c:f>
              <c:strCache>
                <c:ptCount val="45"/>
                <c:pt idx="2">
                  <c:v>4月</c:v>
                </c:pt>
                <c:pt idx="8">
                  <c:v>5月</c:v>
                </c:pt>
                <c:pt idx="14">
                  <c:v>6月</c:v>
                </c:pt>
                <c:pt idx="20">
                  <c:v>7月</c:v>
                </c:pt>
                <c:pt idx="26">
                  <c:v>8月</c:v>
                </c:pt>
                <c:pt idx="32">
                  <c:v>9月</c:v>
                </c:pt>
                <c:pt idx="38">
                  <c:v>10月</c:v>
                </c:pt>
                <c:pt idx="44">
                  <c:v>11月</c:v>
                </c:pt>
              </c:strCache>
            </c:strRef>
          </c:cat>
          <c:val>
            <c:numRef>
              <c:f>ヨコバイ!$J$13:$J$60</c:f>
              <c:numCache>
                <c:formatCode>0.0;;0</c:formatCode>
                <c:ptCount val="48"/>
                <c:pt idx="0">
                  <c:v>0.8</c:v>
                </c:pt>
                <c:pt idx="1">
                  <c:v>0.16</c:v>
                </c:pt>
                <c:pt idx="2">
                  <c:v>0.2</c:v>
                </c:pt>
                <c:pt idx="3">
                  <c:v>0.8</c:v>
                </c:pt>
                <c:pt idx="4">
                  <c:v>0</c:v>
                </c:pt>
                <c:pt idx="5">
                  <c:v>0</c:v>
                </c:pt>
                <c:pt idx="6">
                  <c:v>0</c:v>
                </c:pt>
                <c:pt idx="7">
                  <c:v>0.6</c:v>
                </c:pt>
                <c:pt idx="8">
                  <c:v>0.2</c:v>
                </c:pt>
                <c:pt idx="9">
                  <c:v>2.2999999999999998</c:v>
                </c:pt>
                <c:pt idx="10">
                  <c:v>1.5939999999999999</c:v>
                </c:pt>
                <c:pt idx="11">
                  <c:v>1.518</c:v>
                </c:pt>
                <c:pt idx="12">
                  <c:v>0.6</c:v>
                </c:pt>
                <c:pt idx="13">
                  <c:v>0.16666</c:v>
                </c:pt>
                <c:pt idx="14">
                  <c:v>0.8</c:v>
                </c:pt>
                <c:pt idx="15">
                  <c:v>1.2</c:v>
                </c:pt>
                <c:pt idx="16">
                  <c:v>1.52</c:v>
                </c:pt>
                <c:pt idx="17">
                  <c:v>7.9860000000000015</c:v>
                </c:pt>
                <c:pt idx="18">
                  <c:v>4.4000000000000004</c:v>
                </c:pt>
                <c:pt idx="19">
                  <c:v>2.9340000000000002</c:v>
                </c:pt>
                <c:pt idx="20">
                  <c:v>3.4</c:v>
                </c:pt>
                <c:pt idx="21">
                  <c:v>2.5</c:v>
                </c:pt>
                <c:pt idx="22">
                  <c:v>1.54</c:v>
                </c:pt>
                <c:pt idx="23">
                  <c:v>0.65800000000000003</c:v>
                </c:pt>
                <c:pt idx="24">
                  <c:v>0.6</c:v>
                </c:pt>
                <c:pt idx="25">
                  <c:v>0.5</c:v>
                </c:pt>
                <c:pt idx="26">
                  <c:v>2.85</c:v>
                </c:pt>
                <c:pt idx="27">
                  <c:v>1.6600000000000001</c:v>
                </c:pt>
                <c:pt idx="28">
                  <c:v>2.34</c:v>
                </c:pt>
                <c:pt idx="29">
                  <c:v>0.36599999999999999</c:v>
                </c:pt>
                <c:pt idx="30">
                  <c:v>0.13999999999999999</c:v>
                </c:pt>
                <c:pt idx="31">
                  <c:v>0.82599999999999996</c:v>
                </c:pt>
                <c:pt idx="32">
                  <c:v>3.4000000000000002E-2</c:v>
                </c:pt>
                <c:pt idx="33">
                  <c:v>0.6</c:v>
                </c:pt>
                <c:pt idx="34">
                  <c:v>0.4</c:v>
                </c:pt>
                <c:pt idx="35">
                  <c:v>0.13999999999999999</c:v>
                </c:pt>
                <c:pt idx="36">
                  <c:v>0.45999999999999996</c:v>
                </c:pt>
                <c:pt idx="37">
                  <c:v>1.0539999999999998</c:v>
                </c:pt>
                <c:pt idx="38">
                  <c:v>0.48</c:v>
                </c:pt>
                <c:pt idx="39">
                  <c:v>0.4</c:v>
                </c:pt>
                <c:pt idx="40">
                  <c:v>0.27</c:v>
                </c:pt>
                <c:pt idx="41">
                  <c:v>0.22999999999999998</c:v>
                </c:pt>
                <c:pt idx="42">
                  <c:v>0.4</c:v>
                </c:pt>
                <c:pt idx="43">
                  <c:v>0.56600000000000006</c:v>
                </c:pt>
                <c:pt idx="44">
                  <c:v>0.29399999999999998</c:v>
                </c:pt>
                <c:pt idx="45">
                  <c:v>0.26</c:v>
                </c:pt>
                <c:pt idx="46">
                  <c:v>0.16</c:v>
                </c:pt>
                <c:pt idx="47">
                  <c:v>0.04</c:v>
                </c:pt>
              </c:numCache>
            </c:numRef>
          </c:val>
          <c:smooth val="0"/>
          <c:extLst>
            <c:ext xmlns:c16="http://schemas.microsoft.com/office/drawing/2014/chart" uri="{C3380CC4-5D6E-409C-BE32-E72D297353CC}">
              <c16:uniqueId val="{00000002-80A6-47A0-AE99-AD4C7A4E7534}"/>
            </c:ext>
          </c:extLst>
        </c:ser>
        <c:dLbls>
          <c:showLegendKey val="0"/>
          <c:showVal val="0"/>
          <c:showCatName val="0"/>
          <c:showSerName val="0"/>
          <c:showPercent val="0"/>
          <c:showBubbleSize val="0"/>
        </c:dLbls>
        <c:marker val="1"/>
        <c:smooth val="0"/>
        <c:axId val="701177416"/>
        <c:axId val="701177808"/>
      </c:lineChart>
      <c:catAx>
        <c:axId val="701177416"/>
        <c:scaling>
          <c:orientation val="minMax"/>
        </c:scaling>
        <c:delete val="0"/>
        <c:axPos val="b"/>
        <c:majorGridlines>
          <c:spPr>
            <a:ln w="3175">
              <a:solidFill>
                <a:srgbClr val="000000"/>
              </a:solidFill>
              <a:prstDash val="solid"/>
            </a:ln>
          </c:spPr>
        </c:majorGridlines>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01177808"/>
        <c:crosses val="autoZero"/>
        <c:auto val="1"/>
        <c:lblAlgn val="ctr"/>
        <c:lblOffset val="100"/>
        <c:tickLblSkip val="2"/>
        <c:tickMarkSkip val="6"/>
        <c:noMultiLvlLbl val="0"/>
      </c:catAx>
      <c:valAx>
        <c:axId val="701177808"/>
        <c:scaling>
          <c:orientation val="minMax"/>
          <c:max val="50"/>
          <c:min val="0"/>
        </c:scaling>
        <c:delete val="0"/>
        <c:axPos val="l"/>
        <c:majorGridlines>
          <c:spPr>
            <a:ln w="3175">
              <a:solidFill>
                <a:srgbClr val="000000"/>
              </a:solidFill>
              <a:prstDash val="solid"/>
            </a:ln>
          </c:spPr>
        </c:majorGridlines>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捕殺数（匹）</a:t>
                </a:r>
              </a:p>
            </c:rich>
          </c:tx>
          <c:layout>
            <c:manualLayout>
              <c:xMode val="edge"/>
              <c:yMode val="edge"/>
              <c:x val="2.8301886792452831E-2"/>
              <c:y val="0.45409870487500537"/>
            </c:manualLayout>
          </c:layout>
          <c:overlay val="0"/>
          <c:spPr>
            <a:noFill/>
            <a:ln w="25400">
              <a:noFill/>
            </a:ln>
          </c:spPr>
        </c:title>
        <c:numFmt formatCode="0;;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01177416"/>
        <c:crosses val="autoZero"/>
        <c:crossBetween val="between"/>
        <c:majorUnit val="5"/>
      </c:valAx>
      <c:spPr>
        <a:noFill/>
        <a:ln w="12700">
          <a:solidFill>
            <a:srgbClr val="808080"/>
          </a:solidFill>
          <a:prstDash val="solid"/>
        </a:ln>
      </c:spPr>
    </c:plotArea>
    <c:legend>
      <c:legendPos val="r"/>
      <c:layout>
        <c:manualLayout>
          <c:xMode val="edge"/>
          <c:yMode val="edge"/>
          <c:x val="0.58805113983393587"/>
          <c:y val="0.13114771309324039"/>
          <c:w val="0.36320804239092752"/>
          <c:h val="0.10819689342110925"/>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5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orientation="landscape" verticalDpi="1200"/>
  </c:printSettings>
  <c:userShapes r:id="rId1"/>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游ゴシック Medium" panose="020B0500000000000000" pitchFamily="50" charset="-128"/>
                <a:ea typeface="游ゴシック Medium" panose="020B0500000000000000" pitchFamily="50" charset="-128"/>
                <a:cs typeface="+mn-cs"/>
              </a:defRPr>
            </a:pPr>
            <a:r>
              <a:rPr lang="ja-JP" altLang="en-US">
                <a:latin typeface="游ゴシック Medium" panose="020B0500000000000000" pitchFamily="50" charset="-128"/>
                <a:ea typeface="游ゴシック Medium" panose="020B0500000000000000" pitchFamily="50" charset="-128"/>
              </a:rPr>
              <a:t>チャノコカクモンハマキ予察データ</a:t>
            </a:r>
          </a:p>
        </c:rich>
      </c:tx>
      <c:layout>
        <c:manualLayout>
          <c:xMode val="edge"/>
          <c:yMode val="edge"/>
          <c:x val="0.21602875347736275"/>
          <c:y val="0.84722222222222221"/>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游ゴシック Medium" panose="020B0500000000000000" pitchFamily="50" charset="-128"/>
              <a:ea typeface="游ゴシック Medium" panose="020B0500000000000000" pitchFamily="50" charset="-128"/>
              <a:cs typeface="+mn-cs"/>
            </a:defRPr>
          </a:pPr>
          <a:endParaRPr lang="ja-JP"/>
        </a:p>
      </c:txPr>
    </c:title>
    <c:autoTitleDeleted val="0"/>
    <c:plotArea>
      <c:layout>
        <c:manualLayout>
          <c:layoutTarget val="inner"/>
          <c:xMode val="edge"/>
          <c:yMode val="edge"/>
          <c:x val="9.7735270611972166E-2"/>
          <c:y val="8.5729075532225141E-2"/>
          <c:w val="0.86840550089308721"/>
          <c:h val="0.56377770487022461"/>
        </c:manualLayout>
      </c:layout>
      <c:lineChart>
        <c:grouping val="standard"/>
        <c:varyColors val="0"/>
        <c:ser>
          <c:idx val="1"/>
          <c:order val="1"/>
          <c:tx>
            <c:strRef>
              <c:f>'コカクモンハマキデータ（３月捕虫）'!$H$3</c:f>
              <c:strCache>
                <c:ptCount val="1"/>
                <c:pt idx="0">
                  <c:v>5年平均</c:v>
                </c:pt>
              </c:strCache>
            </c:strRef>
          </c:tx>
          <c:spPr>
            <a:ln w="28575" cap="rnd">
              <a:solidFill>
                <a:schemeClr val="accent2"/>
              </a:solidFill>
              <a:prstDash val="sysDash"/>
              <a:round/>
            </a:ln>
            <a:effectLst/>
          </c:spPr>
          <c:marker>
            <c:symbol val="none"/>
          </c:marker>
          <c:cat>
            <c:strRef>
              <c:f>'コカクモンハマキデータ（３月捕虫）'!$A$6:$A$57</c:f>
              <c:strCache>
                <c:ptCount val="49"/>
                <c:pt idx="0">
                  <c:v>3月</c:v>
                </c:pt>
                <c:pt idx="6">
                  <c:v>4月</c:v>
                </c:pt>
                <c:pt idx="12">
                  <c:v>5月</c:v>
                </c:pt>
                <c:pt idx="18">
                  <c:v>6月</c:v>
                </c:pt>
                <c:pt idx="24">
                  <c:v>7月</c:v>
                </c:pt>
                <c:pt idx="30">
                  <c:v>8月</c:v>
                </c:pt>
                <c:pt idx="36">
                  <c:v>9月</c:v>
                </c:pt>
                <c:pt idx="42">
                  <c:v>10月</c:v>
                </c:pt>
                <c:pt idx="48">
                  <c:v>11月</c:v>
                </c:pt>
              </c:strCache>
            </c:strRef>
          </c:cat>
          <c:val>
            <c:numRef>
              <c:f>'コカクモンハマキデータ（３月捕虫）'!$H$6:$H$57</c:f>
              <c:numCache>
                <c:formatCode>0.0_);[Red]\(0.0\)</c:formatCode>
                <c:ptCount val="52"/>
                <c:pt idx="0">
                  <c:v>0.22000000000000003</c:v>
                </c:pt>
                <c:pt idx="1">
                  <c:v>1.1400000000000001</c:v>
                </c:pt>
                <c:pt idx="2">
                  <c:v>1.278</c:v>
                </c:pt>
                <c:pt idx="3">
                  <c:v>2.54</c:v>
                </c:pt>
                <c:pt idx="4">
                  <c:v>12.879999999999999</c:v>
                </c:pt>
                <c:pt idx="5">
                  <c:v>23.64</c:v>
                </c:pt>
                <c:pt idx="6">
                  <c:v>66.5</c:v>
                </c:pt>
                <c:pt idx="7">
                  <c:v>227.66</c:v>
                </c:pt>
                <c:pt idx="8">
                  <c:v>431.70280000000002</c:v>
                </c:pt>
                <c:pt idx="9">
                  <c:v>389.858</c:v>
                </c:pt>
                <c:pt idx="10">
                  <c:v>332.8</c:v>
                </c:pt>
                <c:pt idx="11">
                  <c:v>213.8</c:v>
                </c:pt>
                <c:pt idx="12">
                  <c:v>114.2</c:v>
                </c:pt>
                <c:pt idx="13">
                  <c:v>29.660000000000004</c:v>
                </c:pt>
                <c:pt idx="14">
                  <c:v>5.274</c:v>
                </c:pt>
                <c:pt idx="15">
                  <c:v>0.73399999999999999</c:v>
                </c:pt>
                <c:pt idx="16">
                  <c:v>1.46</c:v>
                </c:pt>
                <c:pt idx="17">
                  <c:v>22.520000000000003</c:v>
                </c:pt>
                <c:pt idx="18">
                  <c:v>117.36000000000001</c:v>
                </c:pt>
                <c:pt idx="19">
                  <c:v>232.66</c:v>
                </c:pt>
                <c:pt idx="20">
                  <c:v>322.58</c:v>
                </c:pt>
                <c:pt idx="21">
                  <c:v>209.3</c:v>
                </c:pt>
                <c:pt idx="22">
                  <c:v>37.058000000000007</c:v>
                </c:pt>
                <c:pt idx="23">
                  <c:v>12.141999999999999</c:v>
                </c:pt>
                <c:pt idx="24">
                  <c:v>2.8679999999999999</c:v>
                </c:pt>
                <c:pt idx="25">
                  <c:v>4.9739999999999993</c:v>
                </c:pt>
                <c:pt idx="26">
                  <c:v>72.705999999999989</c:v>
                </c:pt>
                <c:pt idx="27">
                  <c:v>50.547999999999995</c:v>
                </c:pt>
                <c:pt idx="28">
                  <c:v>24.580000000000002</c:v>
                </c:pt>
                <c:pt idx="29">
                  <c:v>12.628</c:v>
                </c:pt>
                <c:pt idx="30">
                  <c:v>1.4520000000000002</c:v>
                </c:pt>
                <c:pt idx="31">
                  <c:v>1.2</c:v>
                </c:pt>
                <c:pt idx="32">
                  <c:v>3.2239999999999993</c:v>
                </c:pt>
                <c:pt idx="33">
                  <c:v>15.360000000000003</c:v>
                </c:pt>
                <c:pt idx="34">
                  <c:v>28.306000000000001</c:v>
                </c:pt>
                <c:pt idx="35">
                  <c:v>38.479999999999997</c:v>
                </c:pt>
                <c:pt idx="36">
                  <c:v>66.654000000000011</c:v>
                </c:pt>
                <c:pt idx="37">
                  <c:v>78.024000000000001</c:v>
                </c:pt>
                <c:pt idx="38">
                  <c:v>57.391999999999996</c:v>
                </c:pt>
                <c:pt idx="39">
                  <c:v>43.660000000000004</c:v>
                </c:pt>
                <c:pt idx="40">
                  <c:v>55.660000000000004</c:v>
                </c:pt>
                <c:pt idx="41">
                  <c:v>41.379999999999995</c:v>
                </c:pt>
                <c:pt idx="42">
                  <c:v>86.2</c:v>
                </c:pt>
                <c:pt idx="43">
                  <c:v>85.11999999999999</c:v>
                </c:pt>
                <c:pt idx="44">
                  <c:v>37.959999999999994</c:v>
                </c:pt>
                <c:pt idx="45">
                  <c:v>52.914000000000001</c:v>
                </c:pt>
                <c:pt idx="46">
                  <c:v>30.660000000000004</c:v>
                </c:pt>
                <c:pt idx="47">
                  <c:v>39.1</c:v>
                </c:pt>
                <c:pt idx="48">
                  <c:v>71.626000000000005</c:v>
                </c:pt>
                <c:pt idx="49">
                  <c:v>41.073999999999998</c:v>
                </c:pt>
                <c:pt idx="50">
                  <c:v>14.1</c:v>
                </c:pt>
                <c:pt idx="51">
                  <c:v>6.76</c:v>
                </c:pt>
              </c:numCache>
            </c:numRef>
          </c:val>
          <c:smooth val="0"/>
          <c:extLst>
            <c:ext xmlns:c16="http://schemas.microsoft.com/office/drawing/2014/chart" uri="{C3380CC4-5D6E-409C-BE32-E72D297353CC}">
              <c16:uniqueId val="{00000000-74AD-488D-937A-2D4B5464DD5B}"/>
            </c:ext>
          </c:extLst>
        </c:ser>
        <c:ser>
          <c:idx val="2"/>
          <c:order val="2"/>
          <c:tx>
            <c:strRef>
              <c:f>'コカクモンハマキデータ（３月捕虫）'!$I$3</c:f>
              <c:strCache>
                <c:ptCount val="1"/>
                <c:pt idx="0">
                  <c:v>R2</c:v>
                </c:pt>
              </c:strCache>
            </c:strRef>
          </c:tx>
          <c:spPr>
            <a:ln w="28575" cap="rnd">
              <a:solidFill>
                <a:schemeClr val="tx1"/>
              </a:solidFill>
              <a:round/>
            </a:ln>
            <a:effectLst/>
          </c:spPr>
          <c:marker>
            <c:symbol val="none"/>
          </c:marker>
          <c:cat>
            <c:strRef>
              <c:f>'コカクモンハマキデータ（３月捕虫）'!$A$6:$A$57</c:f>
              <c:strCache>
                <c:ptCount val="49"/>
                <c:pt idx="0">
                  <c:v>3月</c:v>
                </c:pt>
                <c:pt idx="6">
                  <c:v>4月</c:v>
                </c:pt>
                <c:pt idx="12">
                  <c:v>5月</c:v>
                </c:pt>
                <c:pt idx="18">
                  <c:v>6月</c:v>
                </c:pt>
                <c:pt idx="24">
                  <c:v>7月</c:v>
                </c:pt>
                <c:pt idx="30">
                  <c:v>8月</c:v>
                </c:pt>
                <c:pt idx="36">
                  <c:v>9月</c:v>
                </c:pt>
                <c:pt idx="42">
                  <c:v>10月</c:v>
                </c:pt>
                <c:pt idx="48">
                  <c:v>11月</c:v>
                </c:pt>
              </c:strCache>
            </c:strRef>
          </c:cat>
          <c:val>
            <c:numRef>
              <c:f>'コカクモンハマキデータ（３月捕虫）'!$I$6:$I$57</c:f>
              <c:numCache>
                <c:formatCode>0.00_);[Red]\(0.00\)</c:formatCode>
                <c:ptCount val="52"/>
                <c:pt idx="0">
                  <c:v>1</c:v>
                </c:pt>
                <c:pt idx="1">
                  <c:v>2.14</c:v>
                </c:pt>
                <c:pt idx="2" formatCode="0.0_);[Red]\(0.0\)">
                  <c:v>0.86</c:v>
                </c:pt>
                <c:pt idx="3" formatCode="0.0_);[Red]\(0.0\)">
                  <c:v>6</c:v>
                </c:pt>
                <c:pt idx="4" formatCode="General">
                  <c:v>8</c:v>
                </c:pt>
                <c:pt idx="5" formatCode="General">
                  <c:v>17.86</c:v>
                </c:pt>
                <c:pt idx="6" formatCode="General">
                  <c:v>44.14</c:v>
                </c:pt>
                <c:pt idx="7" formatCode="General">
                  <c:v>82</c:v>
                </c:pt>
                <c:pt idx="8" formatCode="General">
                  <c:v>165.83</c:v>
                </c:pt>
                <c:pt idx="9" formatCode="General">
                  <c:v>110.17</c:v>
                </c:pt>
                <c:pt idx="10" formatCode="General">
                  <c:v>98</c:v>
                </c:pt>
                <c:pt idx="11" formatCode="General">
                  <c:v>39</c:v>
                </c:pt>
                <c:pt idx="12" formatCode="General">
                  <c:v>15</c:v>
                </c:pt>
                <c:pt idx="13" formatCode="General">
                  <c:v>10</c:v>
                </c:pt>
                <c:pt idx="14" formatCode="General">
                  <c:v>0</c:v>
                </c:pt>
                <c:pt idx="15" formatCode="General">
                  <c:v>1</c:v>
                </c:pt>
                <c:pt idx="16" formatCode="General">
                  <c:v>7.86</c:v>
                </c:pt>
                <c:pt idx="17" formatCode="General">
                  <c:v>55.14</c:v>
                </c:pt>
                <c:pt idx="18" formatCode="General">
                  <c:v>179</c:v>
                </c:pt>
                <c:pt idx="19" formatCode="General">
                  <c:v>223.33</c:v>
                </c:pt>
                <c:pt idx="20" formatCode="General">
                  <c:v>126.67</c:v>
                </c:pt>
                <c:pt idx="21" formatCode="General">
                  <c:v>49</c:v>
                </c:pt>
                <c:pt idx="22" formatCode="General">
                  <c:v>23</c:v>
                </c:pt>
                <c:pt idx="23" formatCode="General">
                  <c:v>0.71</c:v>
                </c:pt>
                <c:pt idx="24" formatCode="General">
                  <c:v>0.28999999999999998</c:v>
                </c:pt>
                <c:pt idx="25" formatCode="General">
                  <c:v>14</c:v>
                </c:pt>
                <c:pt idx="26" formatCode="General">
                  <c:v>65.83</c:v>
                </c:pt>
                <c:pt idx="27" formatCode="General">
                  <c:v>35.17</c:v>
                </c:pt>
              </c:numCache>
            </c:numRef>
          </c:val>
          <c:smooth val="0"/>
          <c:extLst>
            <c:ext xmlns:c16="http://schemas.microsoft.com/office/drawing/2014/chart" uri="{C3380CC4-5D6E-409C-BE32-E72D297353CC}">
              <c16:uniqueId val="{00000001-74AD-488D-937A-2D4B5464DD5B}"/>
            </c:ext>
          </c:extLst>
        </c:ser>
        <c:dLbls>
          <c:showLegendKey val="0"/>
          <c:showVal val="0"/>
          <c:showCatName val="0"/>
          <c:showSerName val="0"/>
          <c:showPercent val="0"/>
          <c:showBubbleSize val="0"/>
        </c:dLbls>
        <c:smooth val="0"/>
        <c:axId val="701183688"/>
        <c:axId val="701186432"/>
        <c:extLst>
          <c:ext xmlns:c15="http://schemas.microsoft.com/office/drawing/2012/chart" uri="{02D57815-91ED-43cb-92C2-25804820EDAC}">
            <c15:filteredLineSeries>
              <c15:ser>
                <c:idx val="0"/>
                <c:order val="0"/>
                <c:tx>
                  <c:strRef>
                    <c:extLst>
                      <c:ext uri="{02D57815-91ED-43cb-92C2-25804820EDAC}">
                        <c15:formulaRef>
                          <c15:sqref>'コカクモンハマキデータ（３月捕虫）'!$B$4:$B$5</c15:sqref>
                        </c15:formulaRef>
                      </c:ext>
                    </c:extLst>
                    <c:strCache>
                      <c:ptCount val="2"/>
                      <c:pt idx="0">
                        <c:v>1半旬</c:v>
                      </c:pt>
                      <c:pt idx="1">
                        <c:v>2半旬</c:v>
                      </c:pt>
                    </c:strCache>
                  </c:strRef>
                </c:tx>
                <c:spPr>
                  <a:ln w="28575" cap="rnd">
                    <a:solidFill>
                      <a:schemeClr val="accent1"/>
                    </a:solidFill>
                    <a:round/>
                  </a:ln>
                  <a:effectLst/>
                </c:spPr>
                <c:marker>
                  <c:symbol val="none"/>
                </c:marker>
                <c:cat>
                  <c:strRef>
                    <c:extLst>
                      <c:ext uri="{02D57815-91ED-43cb-92C2-25804820EDAC}">
                        <c15:formulaRef>
                          <c15:sqref>'コカクモンハマキデータ（３月捕虫）'!$A$6:$A$57</c15:sqref>
                        </c15:formulaRef>
                      </c:ext>
                    </c:extLst>
                    <c:strCache>
                      <c:ptCount val="49"/>
                      <c:pt idx="0">
                        <c:v>3月</c:v>
                      </c:pt>
                      <c:pt idx="6">
                        <c:v>4月</c:v>
                      </c:pt>
                      <c:pt idx="12">
                        <c:v>5月</c:v>
                      </c:pt>
                      <c:pt idx="18">
                        <c:v>6月</c:v>
                      </c:pt>
                      <c:pt idx="24">
                        <c:v>7月</c:v>
                      </c:pt>
                      <c:pt idx="30">
                        <c:v>8月</c:v>
                      </c:pt>
                      <c:pt idx="36">
                        <c:v>9月</c:v>
                      </c:pt>
                      <c:pt idx="42">
                        <c:v>10月</c:v>
                      </c:pt>
                      <c:pt idx="48">
                        <c:v>11月</c:v>
                      </c:pt>
                    </c:strCache>
                  </c:strRef>
                </c:cat>
                <c:val>
                  <c:numRef>
                    <c:extLst>
                      <c:ext uri="{02D57815-91ED-43cb-92C2-25804820EDAC}">
                        <c15:formulaRef>
                          <c15:sqref>'コカクモンハマキデータ（３月捕虫）'!$B$6:$B$57</c15:sqref>
                        </c15:formulaRef>
                      </c:ext>
                    </c:extLst>
                    <c:numCache>
                      <c:formatCode>General</c:formatCode>
                      <c:ptCount val="5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numCache>
                  </c:numRef>
                </c:val>
                <c:smooth val="0"/>
                <c:extLst>
                  <c:ext xmlns:c16="http://schemas.microsoft.com/office/drawing/2014/chart" uri="{C3380CC4-5D6E-409C-BE32-E72D297353CC}">
                    <c16:uniqueId val="{00000002-74AD-488D-937A-2D4B5464DD5B}"/>
                  </c:ext>
                </c:extLst>
              </c15:ser>
            </c15:filteredLineSeries>
          </c:ext>
        </c:extLst>
      </c:lineChart>
      <c:catAx>
        <c:axId val="701183688"/>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ja-JP"/>
          </a:p>
        </c:txPr>
        <c:crossAx val="701186432"/>
        <c:crosses val="autoZero"/>
        <c:auto val="0"/>
        <c:lblAlgn val="ctr"/>
        <c:lblOffset val="100"/>
        <c:tickMarkSkip val="3"/>
        <c:noMultiLvlLbl val="0"/>
      </c:catAx>
      <c:valAx>
        <c:axId val="701186432"/>
        <c:scaling>
          <c:orientation val="minMax"/>
          <c:max val="500"/>
          <c:min val="0"/>
        </c:scaling>
        <c:delete val="0"/>
        <c:axPos val="l"/>
        <c:majorGridlines>
          <c:spPr>
            <a:ln w="9525" cap="flat" cmpd="sng" algn="ctr">
              <a:solidFill>
                <a:schemeClr val="tx1">
                  <a:lumMod val="15000"/>
                  <a:lumOff val="85000"/>
                </a:schemeClr>
              </a:solidFill>
              <a:round/>
            </a:ln>
            <a:effectLst/>
          </c:spPr>
        </c:majorGridlines>
        <c:numFmt formatCode="0.0_);[Red]\(0.0\)" sourceLinked="1"/>
        <c:majorTickMark val="none"/>
        <c:minorTickMark val="none"/>
        <c:tickLblPos val="nextTo"/>
        <c:spPr>
          <a:noFill/>
          <a:ln>
            <a:solidFill>
              <a:schemeClr val="tx1"/>
            </a:solidFill>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ja-JP"/>
          </a:p>
        </c:txPr>
        <c:crossAx val="701183688"/>
        <c:crosses val="autoZero"/>
        <c:crossBetween val="between"/>
        <c:majorUnit val="200"/>
      </c:valAx>
      <c:spPr>
        <a:noFill/>
        <a:ln>
          <a:noFill/>
        </a:ln>
        <a:effectLst/>
      </c:spPr>
    </c:plotArea>
    <c:legend>
      <c:legendPos val="b"/>
      <c:layout>
        <c:manualLayout>
          <c:xMode val="edge"/>
          <c:yMode val="edge"/>
          <c:x val="0.66048571715557181"/>
          <c:y val="5.4001531058617672E-2"/>
          <c:w val="0.29773359945605687"/>
          <c:h val="8.2060128847530431E-2"/>
        </c:manualLayout>
      </c:layout>
      <c:overlay val="0"/>
      <c:spPr>
        <a:noFill/>
        <a:ln>
          <a:noFill/>
        </a:ln>
        <a:effectLst/>
      </c:spPr>
      <c:txPr>
        <a:bodyPr rot="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ja-JP"/>
              <a:t>チャハマキ　発生消長（フェロモントラップ）</a:t>
            </a:r>
          </a:p>
        </c:rich>
      </c:tx>
      <c:layout>
        <c:manualLayout>
          <c:xMode val="edge"/>
          <c:yMode val="edge"/>
          <c:x val="0.27257630360971724"/>
          <c:y val="1.2327146606674163E-2"/>
        </c:manualLayout>
      </c:layout>
      <c:overlay val="0"/>
      <c:spPr>
        <a:noFill/>
        <a:ln w="25400">
          <a:noFill/>
        </a:ln>
      </c:spPr>
    </c:title>
    <c:autoTitleDeleted val="0"/>
    <c:plotArea>
      <c:layout>
        <c:manualLayout>
          <c:layoutTarget val="inner"/>
          <c:xMode val="edge"/>
          <c:yMode val="edge"/>
          <c:x val="0.10823802465106369"/>
          <c:y val="0.14424922128852885"/>
          <c:w val="0.86802832288450993"/>
          <c:h val="0.73210624493982634"/>
        </c:manualLayout>
      </c:layout>
      <c:lineChart>
        <c:grouping val="standard"/>
        <c:varyColors val="0"/>
        <c:ser>
          <c:idx val="1"/>
          <c:order val="0"/>
          <c:tx>
            <c:strRef>
              <c:f>チャハマキ!$F$5</c:f>
              <c:strCache>
                <c:ptCount val="1"/>
                <c:pt idx="0">
                  <c:v>平年（過去10年）</c:v>
                </c:pt>
              </c:strCache>
            </c:strRef>
          </c:tx>
          <c:spPr>
            <a:ln w="25400">
              <a:solidFill>
                <a:srgbClr val="C00000"/>
              </a:solidFill>
              <a:prstDash val="solid"/>
            </a:ln>
          </c:spPr>
          <c:marker>
            <c:symbol val="triangle"/>
            <c:size val="8"/>
            <c:spPr>
              <a:solidFill>
                <a:srgbClr val="C00000"/>
              </a:solidFill>
              <a:ln>
                <a:solidFill>
                  <a:srgbClr val="C00000"/>
                </a:solidFill>
                <a:prstDash val="solid"/>
              </a:ln>
            </c:spPr>
          </c:marker>
          <c:cat>
            <c:strRef>
              <c:f>チャハマキ!$B$13:$B$60</c:f>
              <c:strCache>
                <c:ptCount val="45"/>
                <c:pt idx="2">
                  <c:v>4月</c:v>
                </c:pt>
                <c:pt idx="8">
                  <c:v>5月</c:v>
                </c:pt>
                <c:pt idx="14">
                  <c:v>6月</c:v>
                </c:pt>
                <c:pt idx="20">
                  <c:v>7月</c:v>
                </c:pt>
                <c:pt idx="26">
                  <c:v>8月</c:v>
                </c:pt>
                <c:pt idx="32">
                  <c:v>9月</c:v>
                </c:pt>
                <c:pt idx="38">
                  <c:v>10月</c:v>
                </c:pt>
                <c:pt idx="44">
                  <c:v>11月</c:v>
                </c:pt>
              </c:strCache>
            </c:strRef>
          </c:cat>
          <c:val>
            <c:numRef>
              <c:f>チャハマキ!$F$13:$F$60</c:f>
              <c:numCache>
                <c:formatCode>0.0;;0</c:formatCode>
                <c:ptCount val="48"/>
                <c:pt idx="0">
                  <c:v>2.7942857142857145</c:v>
                </c:pt>
                <c:pt idx="1">
                  <c:v>3.78</c:v>
                </c:pt>
                <c:pt idx="2">
                  <c:v>8.5466666666666669</c:v>
                </c:pt>
                <c:pt idx="3">
                  <c:v>9.5166666666666675</c:v>
                </c:pt>
                <c:pt idx="4">
                  <c:v>7.0544285714285708</c:v>
                </c:pt>
                <c:pt idx="5">
                  <c:v>3.4295</c:v>
                </c:pt>
                <c:pt idx="6">
                  <c:v>13.771428571428572</c:v>
                </c:pt>
                <c:pt idx="7">
                  <c:v>13.716666666666665</c:v>
                </c:pt>
                <c:pt idx="8">
                  <c:v>12.686</c:v>
                </c:pt>
                <c:pt idx="9">
                  <c:v>12.644</c:v>
                </c:pt>
                <c:pt idx="10">
                  <c:v>15.903333333333332</c:v>
                </c:pt>
                <c:pt idx="11">
                  <c:v>9.0566666666666684</c:v>
                </c:pt>
                <c:pt idx="12">
                  <c:v>4.6669999999999998</c:v>
                </c:pt>
                <c:pt idx="13">
                  <c:v>4.0030000000000001</c:v>
                </c:pt>
                <c:pt idx="14">
                  <c:v>4.0299999999999994</c:v>
                </c:pt>
                <c:pt idx="15">
                  <c:v>6.0125000000000002</c:v>
                </c:pt>
                <c:pt idx="16">
                  <c:v>11.73</c:v>
                </c:pt>
                <c:pt idx="17">
                  <c:v>8.76</c:v>
                </c:pt>
                <c:pt idx="18">
                  <c:v>9.4430000000000014</c:v>
                </c:pt>
                <c:pt idx="19">
                  <c:v>9.3279999999999994</c:v>
                </c:pt>
                <c:pt idx="20">
                  <c:v>4.7023333333333328</c:v>
                </c:pt>
                <c:pt idx="21">
                  <c:v>6.2936666666666667</c:v>
                </c:pt>
                <c:pt idx="22">
                  <c:v>3.2326666666666668</c:v>
                </c:pt>
                <c:pt idx="23">
                  <c:v>2.5740000000000003</c:v>
                </c:pt>
                <c:pt idx="24">
                  <c:v>1.0444285714285715</c:v>
                </c:pt>
                <c:pt idx="25">
                  <c:v>0.9414285714285715</c:v>
                </c:pt>
                <c:pt idx="26">
                  <c:v>0.55333333333333334</c:v>
                </c:pt>
                <c:pt idx="27">
                  <c:v>0.80099999999999993</c:v>
                </c:pt>
                <c:pt idx="28">
                  <c:v>0.48233333333333334</c:v>
                </c:pt>
                <c:pt idx="29">
                  <c:v>1.0633333333333335</c:v>
                </c:pt>
                <c:pt idx="30">
                  <c:v>0.91761904761904756</c:v>
                </c:pt>
                <c:pt idx="31">
                  <c:v>0.48571428571428565</c:v>
                </c:pt>
                <c:pt idx="32">
                  <c:v>0.41699999999999998</c:v>
                </c:pt>
                <c:pt idx="33">
                  <c:v>0.65999999999999992</c:v>
                </c:pt>
                <c:pt idx="34">
                  <c:v>1.413</c:v>
                </c:pt>
                <c:pt idx="35">
                  <c:v>0.71</c:v>
                </c:pt>
                <c:pt idx="36">
                  <c:v>3.097</c:v>
                </c:pt>
                <c:pt idx="37">
                  <c:v>3.8374285714285712</c:v>
                </c:pt>
                <c:pt idx="38">
                  <c:v>5.6075714285714282</c:v>
                </c:pt>
                <c:pt idx="39">
                  <c:v>8.0297619047619051</c:v>
                </c:pt>
                <c:pt idx="40">
                  <c:v>9.4116666666666671</c:v>
                </c:pt>
                <c:pt idx="41">
                  <c:v>10.6355</c:v>
                </c:pt>
                <c:pt idx="42">
                  <c:v>16.209166666666668</c:v>
                </c:pt>
                <c:pt idx="43">
                  <c:v>14.144761904761904</c:v>
                </c:pt>
                <c:pt idx="44">
                  <c:v>14.928714285714287</c:v>
                </c:pt>
                <c:pt idx="45">
                  <c:v>5.1429523809523818</c:v>
                </c:pt>
                <c:pt idx="46">
                  <c:v>3.0826190476190476</c:v>
                </c:pt>
                <c:pt idx="47">
                  <c:v>2.677</c:v>
                </c:pt>
              </c:numCache>
            </c:numRef>
          </c:val>
          <c:smooth val="0"/>
          <c:extLst>
            <c:ext xmlns:c16="http://schemas.microsoft.com/office/drawing/2014/chart" uri="{C3380CC4-5D6E-409C-BE32-E72D297353CC}">
              <c16:uniqueId val="{00000000-EC88-4B58-B00D-683DC2457C1C}"/>
            </c:ext>
          </c:extLst>
        </c:ser>
        <c:ser>
          <c:idx val="0"/>
          <c:order val="1"/>
          <c:tx>
            <c:strRef>
              <c:f>チャハマキ!$D$5</c:f>
              <c:strCache>
                <c:ptCount val="1"/>
                <c:pt idx="0">
                  <c:v>2026年</c:v>
                </c:pt>
              </c:strCache>
            </c:strRef>
          </c:tx>
          <c:spPr>
            <a:ln w="25400">
              <a:solidFill>
                <a:srgbClr val="0000FF"/>
              </a:solidFill>
              <a:prstDash val="solid"/>
            </a:ln>
          </c:spPr>
          <c:marker>
            <c:symbol val="circle"/>
            <c:size val="8"/>
            <c:spPr>
              <a:solidFill>
                <a:srgbClr val="0000FF"/>
              </a:solidFill>
              <a:ln>
                <a:solidFill>
                  <a:srgbClr val="0000FF"/>
                </a:solidFill>
                <a:prstDash val="solid"/>
              </a:ln>
            </c:spPr>
          </c:marker>
          <c:cat>
            <c:strRef>
              <c:f>チャハマキ!$B$13:$B$60</c:f>
              <c:strCache>
                <c:ptCount val="45"/>
                <c:pt idx="2">
                  <c:v>4月</c:v>
                </c:pt>
                <c:pt idx="8">
                  <c:v>5月</c:v>
                </c:pt>
                <c:pt idx="14">
                  <c:v>6月</c:v>
                </c:pt>
                <c:pt idx="20">
                  <c:v>7月</c:v>
                </c:pt>
                <c:pt idx="26">
                  <c:v>8月</c:v>
                </c:pt>
                <c:pt idx="32">
                  <c:v>9月</c:v>
                </c:pt>
                <c:pt idx="38">
                  <c:v>10月</c:v>
                </c:pt>
                <c:pt idx="44">
                  <c:v>11月</c:v>
                </c:pt>
              </c:strCache>
            </c:strRef>
          </c:cat>
          <c:val>
            <c:numRef>
              <c:f>チャハマキ!$BB$13:$BB$60</c:f>
              <c:numCache>
                <c:formatCode>General</c:formatCode>
                <c:ptCount val="48"/>
                <c:pt idx="0">
                  <c:v>17</c:v>
                </c:pt>
                <c:pt idx="1">
                  <c:v>10</c:v>
                </c:pt>
                <c:pt idx="2">
                  <c:v>28.333333333333332</c:v>
                </c:pt>
                <c:pt idx="3">
                  <c:v>2</c:v>
                </c:pt>
                <c:pt idx="4">
                  <c:v>1.6666666666666667</c:v>
                </c:pt>
                <c:pt idx="5">
                  <c:v>2.5</c:v>
                </c:pt>
                <c:pt idx="6">
                  <c:v>0.83333333333333337</c:v>
                </c:pt>
                <c:pt idx="7">
                  <c:v>0</c:v>
                </c:pt>
                <c:pt idx="8">
                  <c:v>0</c:v>
                </c:pt>
                <c:pt idx="9">
                  <c:v>1.6666666666666667</c:v>
                </c:pt>
                <c:pt idx="10">
                  <c:v>0</c:v>
                </c:pt>
                <c:pt idx="11">
                  <c:v>0</c:v>
                </c:pt>
                <c:pt idx="12">
                  <c:v>0.7142857142857143</c:v>
                </c:pt>
                <c:pt idx="13">
                  <c:v>0</c:v>
                </c:pt>
                <c:pt idx="14">
                  <c:v>1</c:v>
                </c:pt>
                <c:pt idx="15">
                  <c:v>0</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numCache>
            </c:numRef>
          </c:val>
          <c:smooth val="0"/>
          <c:extLst>
            <c:ext xmlns:c16="http://schemas.microsoft.com/office/drawing/2014/chart" uri="{C3380CC4-5D6E-409C-BE32-E72D297353CC}">
              <c16:uniqueId val="{00000001-EC88-4B58-B00D-683DC2457C1C}"/>
            </c:ext>
          </c:extLst>
        </c:ser>
        <c:dLbls>
          <c:showLegendKey val="0"/>
          <c:showVal val="0"/>
          <c:showCatName val="0"/>
          <c:showSerName val="0"/>
          <c:showPercent val="0"/>
          <c:showBubbleSize val="0"/>
        </c:dLbls>
        <c:marker val="1"/>
        <c:smooth val="0"/>
        <c:axId val="700301504"/>
        <c:axId val="700294448"/>
      </c:lineChart>
      <c:catAx>
        <c:axId val="700301504"/>
        <c:scaling>
          <c:orientation val="minMax"/>
        </c:scaling>
        <c:delete val="0"/>
        <c:axPos val="b"/>
        <c:majorGridlines>
          <c:spPr>
            <a:ln w="3175">
              <a:solidFill>
                <a:srgbClr val="000000"/>
              </a:solidFill>
              <a:prstDash val="solid"/>
            </a:ln>
          </c:spPr>
        </c:majorGridlines>
        <c:numFmt formatCode="General" sourceLinked="1"/>
        <c:majorTickMark val="in"/>
        <c:minorTickMark val="none"/>
        <c:tickLblPos val="nextTo"/>
        <c:spPr>
          <a:ln w="3175">
            <a:solidFill>
              <a:srgbClr val="000000"/>
            </a:solidFill>
            <a:prstDash val="solid"/>
          </a:ln>
        </c:spPr>
        <c:txPr>
          <a:bodyPr rot="0" vert="horz"/>
          <a:lstStyle/>
          <a:p>
            <a:pPr>
              <a:defRPr/>
            </a:pPr>
            <a:endParaRPr lang="ja-JP"/>
          </a:p>
        </c:txPr>
        <c:crossAx val="700294448"/>
        <c:crosses val="autoZero"/>
        <c:auto val="1"/>
        <c:lblAlgn val="ctr"/>
        <c:lblOffset val="100"/>
        <c:tickLblSkip val="2"/>
        <c:tickMarkSkip val="6"/>
        <c:noMultiLvlLbl val="0"/>
      </c:catAx>
      <c:valAx>
        <c:axId val="700294448"/>
        <c:scaling>
          <c:orientation val="minMax"/>
          <c:max val="70"/>
          <c:min val="0"/>
        </c:scaling>
        <c:delete val="0"/>
        <c:axPos val="l"/>
        <c:majorGridlines>
          <c:spPr>
            <a:ln w="3175">
              <a:solidFill>
                <a:srgbClr val="000000"/>
              </a:solidFill>
              <a:prstDash val="solid"/>
            </a:ln>
          </c:spPr>
        </c:majorGridlines>
        <c:title>
          <c:tx>
            <c:rich>
              <a:bodyPr/>
              <a:lstStyle/>
              <a:p>
                <a:pPr>
                  <a:defRPr/>
                </a:pPr>
                <a:r>
                  <a:rPr lang="ja-JP"/>
                  <a:t>成虫誘殺数（頭</a:t>
                </a:r>
                <a:r>
                  <a:rPr lang="en-US"/>
                  <a:t>/</a:t>
                </a:r>
                <a:r>
                  <a:rPr lang="ja-JP"/>
                  <a:t>半旬）</a:t>
                </a:r>
              </a:p>
            </c:rich>
          </c:tx>
          <c:layout>
            <c:manualLayout>
              <c:xMode val="edge"/>
              <c:yMode val="edge"/>
              <c:x val="5.974641770814934E-5"/>
              <c:y val="0.24164468505158126"/>
            </c:manualLayout>
          </c:layout>
          <c:overlay val="0"/>
          <c:spPr>
            <a:noFill/>
            <a:ln w="25400">
              <a:noFill/>
            </a:ln>
          </c:spPr>
        </c:title>
        <c:numFmt formatCode="General" sourceLinked="0"/>
        <c:majorTickMark val="in"/>
        <c:minorTickMark val="none"/>
        <c:tickLblPos val="nextTo"/>
        <c:spPr>
          <a:ln w="3175">
            <a:solidFill>
              <a:srgbClr val="000000"/>
            </a:solidFill>
            <a:prstDash val="solid"/>
          </a:ln>
        </c:spPr>
        <c:txPr>
          <a:bodyPr rot="0" vert="horz"/>
          <a:lstStyle/>
          <a:p>
            <a:pPr>
              <a:defRPr/>
            </a:pPr>
            <a:endParaRPr lang="ja-JP"/>
          </a:p>
        </c:txPr>
        <c:crossAx val="700301504"/>
        <c:crosses val="autoZero"/>
        <c:crossBetween val="between"/>
        <c:majorUnit val="20"/>
        <c:minorUnit val="5"/>
      </c:valAx>
      <c:spPr>
        <a:noFill/>
        <a:ln w="12700">
          <a:solidFill>
            <a:sysClr val="windowText" lastClr="000000"/>
          </a:solidFill>
          <a:prstDash val="solid"/>
        </a:ln>
      </c:spPr>
    </c:plotArea>
    <c:legend>
      <c:legendPos val="r"/>
      <c:layout>
        <c:manualLayout>
          <c:xMode val="edge"/>
          <c:yMode val="edge"/>
          <c:x val="0.51808683329015726"/>
          <c:y val="0.17528611220398654"/>
          <c:w val="0.25585721944003714"/>
          <c:h val="0.17278209806061523"/>
        </c:manualLayout>
      </c:layout>
      <c:overlay val="0"/>
      <c:spPr>
        <a:solidFill>
          <a:srgbClr val="FFFFFF"/>
        </a:solidFill>
        <a:ln w="3175">
          <a:solidFill>
            <a:srgbClr val="000000"/>
          </a:solidFill>
          <a:prstDash val="solid"/>
        </a:ln>
      </c:spPr>
    </c:legend>
    <c:plotVisOnly val="1"/>
    <c:dispBlanksAs val="gap"/>
    <c:showDLblsOverMax val="0"/>
  </c:chart>
  <c:spPr>
    <a:noFill/>
    <a:ln w="3175">
      <a:noFill/>
      <a:prstDash val="solid"/>
    </a:ln>
  </c:spPr>
  <c:txPr>
    <a:bodyPr/>
    <a:lstStyle/>
    <a:p>
      <a:pPr>
        <a:defRPr sz="2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defRPr>
      </a:pPr>
      <a:endParaRPr lang="ja-JP"/>
    </a:p>
  </c:txPr>
  <c:printSettings>
    <c:headerFooter alignWithMargins="0"/>
    <c:pageMargins b="1" l="0.75" r="0.75" t="1" header="0.51200000000000001" footer="0.51200000000000001"/>
    <c:pageSetup orientation="landscape" verticalDpi="1200"/>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ja-JP"/>
              <a:t>チャノキイロアザミウマ　発生消長（黄色粘着トラップ）</a:t>
            </a:r>
          </a:p>
        </c:rich>
      </c:tx>
      <c:layout>
        <c:manualLayout>
          <c:xMode val="edge"/>
          <c:yMode val="edge"/>
          <c:x val="0.22289766159128438"/>
          <c:y val="7.8405499858965362E-6"/>
        </c:manualLayout>
      </c:layout>
      <c:overlay val="0"/>
      <c:spPr>
        <a:noFill/>
        <a:ln w="25400">
          <a:noFill/>
        </a:ln>
      </c:spPr>
    </c:title>
    <c:autoTitleDeleted val="0"/>
    <c:plotArea>
      <c:layout>
        <c:manualLayout>
          <c:layoutTarget val="inner"/>
          <c:xMode val="edge"/>
          <c:yMode val="edge"/>
          <c:x val="0.11071245807209719"/>
          <c:y val="0.11823963769832477"/>
          <c:w val="0.85947977181156154"/>
          <c:h val="0.75914419278292522"/>
        </c:manualLayout>
      </c:layout>
      <c:lineChart>
        <c:grouping val="standard"/>
        <c:varyColors val="0"/>
        <c:ser>
          <c:idx val="1"/>
          <c:order val="0"/>
          <c:tx>
            <c:v>平年（過去10年）</c:v>
          </c:tx>
          <c:spPr>
            <a:ln w="25400">
              <a:solidFill>
                <a:srgbClr val="C00000"/>
              </a:solidFill>
              <a:prstDash val="solid"/>
            </a:ln>
          </c:spPr>
          <c:marker>
            <c:symbol val="triangle"/>
            <c:size val="8"/>
            <c:spPr>
              <a:solidFill>
                <a:srgbClr val="C00000"/>
              </a:solidFill>
              <a:ln>
                <a:solidFill>
                  <a:srgbClr val="C00000"/>
                </a:solidFill>
                <a:prstDash val="solid"/>
              </a:ln>
            </c:spPr>
          </c:marker>
          <c:cat>
            <c:strRef>
              <c:f>アザミウマ!$B$13:$B$60</c:f>
              <c:strCache>
                <c:ptCount val="45"/>
                <c:pt idx="2">
                  <c:v>4月</c:v>
                </c:pt>
                <c:pt idx="8">
                  <c:v>5月</c:v>
                </c:pt>
                <c:pt idx="14">
                  <c:v>6月</c:v>
                </c:pt>
                <c:pt idx="20">
                  <c:v>7月</c:v>
                </c:pt>
                <c:pt idx="26">
                  <c:v>8月</c:v>
                </c:pt>
                <c:pt idx="32">
                  <c:v>9月</c:v>
                </c:pt>
                <c:pt idx="38">
                  <c:v>10月</c:v>
                </c:pt>
                <c:pt idx="44">
                  <c:v>11月</c:v>
                </c:pt>
              </c:strCache>
            </c:strRef>
          </c:cat>
          <c:val>
            <c:numRef>
              <c:f>YTR!$G$13:$G$60</c:f>
              <c:numCache>
                <c:formatCode>0.0;;0</c:formatCode>
                <c:ptCount val="48"/>
                <c:pt idx="0">
                  <c:v>35.331000000000003</c:v>
                </c:pt>
                <c:pt idx="1">
                  <c:v>25.943999999999999</c:v>
                </c:pt>
                <c:pt idx="2">
                  <c:v>9.3925000000000001</c:v>
                </c:pt>
                <c:pt idx="3">
                  <c:v>5.798</c:v>
                </c:pt>
                <c:pt idx="4">
                  <c:v>2.077</c:v>
                </c:pt>
                <c:pt idx="5">
                  <c:v>1.677</c:v>
                </c:pt>
                <c:pt idx="6">
                  <c:v>9.0617857142857137</c:v>
                </c:pt>
                <c:pt idx="7">
                  <c:v>63.33</c:v>
                </c:pt>
                <c:pt idx="8">
                  <c:v>115.33250000000001</c:v>
                </c:pt>
                <c:pt idx="9">
                  <c:v>133.13</c:v>
                </c:pt>
                <c:pt idx="10">
                  <c:v>87.278999999999996</c:v>
                </c:pt>
                <c:pt idx="11">
                  <c:v>85.591000000000008</c:v>
                </c:pt>
                <c:pt idx="12">
                  <c:v>42.234000000000002</c:v>
                </c:pt>
                <c:pt idx="13">
                  <c:v>47.960999999999999</c:v>
                </c:pt>
                <c:pt idx="14">
                  <c:v>81.47</c:v>
                </c:pt>
                <c:pt idx="15">
                  <c:v>148.21899999999999</c:v>
                </c:pt>
                <c:pt idx="16">
                  <c:v>137.86600000000001</c:v>
                </c:pt>
                <c:pt idx="17">
                  <c:v>165.53571428571428</c:v>
                </c:pt>
                <c:pt idx="18">
                  <c:v>152.9782857142857</c:v>
                </c:pt>
                <c:pt idx="19">
                  <c:v>116.89000000000001</c:v>
                </c:pt>
                <c:pt idx="20">
                  <c:v>101.41200000000001</c:v>
                </c:pt>
                <c:pt idx="21">
                  <c:v>84.539000000000016</c:v>
                </c:pt>
                <c:pt idx="22">
                  <c:v>104.19983333333332</c:v>
                </c:pt>
                <c:pt idx="23">
                  <c:v>173.47033333333331</c:v>
                </c:pt>
                <c:pt idx="24">
                  <c:v>230.523</c:v>
                </c:pt>
                <c:pt idx="25">
                  <c:v>387.62</c:v>
                </c:pt>
                <c:pt idx="26">
                  <c:v>401.77816666666666</c:v>
                </c:pt>
                <c:pt idx="27">
                  <c:v>382.15133333333335</c:v>
                </c:pt>
                <c:pt idx="28">
                  <c:v>314.92899999999997</c:v>
                </c:pt>
                <c:pt idx="29">
                  <c:v>396.49250000000001</c:v>
                </c:pt>
                <c:pt idx="30">
                  <c:v>179.15</c:v>
                </c:pt>
                <c:pt idx="31">
                  <c:v>136.03399999999999</c:v>
                </c:pt>
                <c:pt idx="32">
                  <c:v>87.181000000000012</c:v>
                </c:pt>
                <c:pt idx="33">
                  <c:v>90.790999999999997</c:v>
                </c:pt>
                <c:pt idx="34">
                  <c:v>68.271000000000001</c:v>
                </c:pt>
                <c:pt idx="35">
                  <c:v>39.581714285714291</c:v>
                </c:pt>
                <c:pt idx="36">
                  <c:v>26.042285714285715</c:v>
                </c:pt>
                <c:pt idx="37">
                  <c:v>11.595000000000001</c:v>
                </c:pt>
                <c:pt idx="38">
                  <c:v>5.7537500000000001</c:v>
                </c:pt>
                <c:pt idx="39">
                  <c:v>5.3245833333333339</c:v>
                </c:pt>
                <c:pt idx="40">
                  <c:v>3.9591666666666661</c:v>
                </c:pt>
                <c:pt idx="41">
                  <c:v>3.9496250000000002</c:v>
                </c:pt>
                <c:pt idx="42">
                  <c:v>7.3578749999999999</c:v>
                </c:pt>
                <c:pt idx="43">
                  <c:v>2.4350000000000001</c:v>
                </c:pt>
                <c:pt idx="44">
                  <c:v>3.1867142857142858</c:v>
                </c:pt>
                <c:pt idx="45">
                  <c:v>0.86128571428571432</c:v>
                </c:pt>
                <c:pt idx="46">
                  <c:v>0.49199999999999999</c:v>
                </c:pt>
                <c:pt idx="47">
                  <c:v>0.16</c:v>
                </c:pt>
              </c:numCache>
            </c:numRef>
          </c:val>
          <c:smooth val="0"/>
          <c:extLst>
            <c:ext xmlns:c16="http://schemas.microsoft.com/office/drawing/2014/chart" uri="{C3380CC4-5D6E-409C-BE32-E72D297353CC}">
              <c16:uniqueId val="{00000000-81D9-4704-9BCD-0E58DA8487B9}"/>
            </c:ext>
          </c:extLst>
        </c:ser>
        <c:ser>
          <c:idx val="0"/>
          <c:order val="1"/>
          <c:tx>
            <c:strRef>
              <c:f>YTR!$D$6</c:f>
              <c:strCache>
                <c:ptCount val="1"/>
                <c:pt idx="0">
                  <c:v>2026</c:v>
                </c:pt>
              </c:strCache>
            </c:strRef>
          </c:tx>
          <c:spPr>
            <a:ln w="25400">
              <a:solidFill>
                <a:srgbClr val="0000FF"/>
              </a:solidFill>
              <a:prstDash val="solid"/>
            </a:ln>
          </c:spPr>
          <c:marker>
            <c:symbol val="circle"/>
            <c:size val="8"/>
            <c:spPr>
              <a:solidFill>
                <a:srgbClr val="0000FF"/>
              </a:solidFill>
              <a:ln>
                <a:solidFill>
                  <a:srgbClr val="0000FF"/>
                </a:solidFill>
                <a:prstDash val="solid"/>
              </a:ln>
            </c:spPr>
          </c:marker>
          <c:dPt>
            <c:idx val="25"/>
            <c:bubble3D val="0"/>
            <c:extLst>
              <c:ext xmlns:c16="http://schemas.microsoft.com/office/drawing/2014/chart" uri="{C3380CC4-5D6E-409C-BE32-E72D297353CC}">
                <c16:uniqueId val="{00000001-81D9-4704-9BCD-0E58DA8487B9}"/>
              </c:ext>
            </c:extLst>
          </c:dPt>
          <c:dPt>
            <c:idx val="26"/>
            <c:bubble3D val="0"/>
            <c:extLst>
              <c:ext xmlns:c16="http://schemas.microsoft.com/office/drawing/2014/chart" uri="{C3380CC4-5D6E-409C-BE32-E72D297353CC}">
                <c16:uniqueId val="{00000002-81D9-4704-9BCD-0E58DA8487B9}"/>
              </c:ext>
            </c:extLst>
          </c:dPt>
          <c:cat>
            <c:strRef>
              <c:f>アザミウマ!$B$13:$B$60</c:f>
              <c:strCache>
                <c:ptCount val="45"/>
                <c:pt idx="2">
                  <c:v>4月</c:v>
                </c:pt>
                <c:pt idx="8">
                  <c:v>5月</c:v>
                </c:pt>
                <c:pt idx="14">
                  <c:v>6月</c:v>
                </c:pt>
                <c:pt idx="20">
                  <c:v>7月</c:v>
                </c:pt>
                <c:pt idx="26">
                  <c:v>8月</c:v>
                </c:pt>
                <c:pt idx="32">
                  <c:v>9月</c:v>
                </c:pt>
                <c:pt idx="38">
                  <c:v>10月</c:v>
                </c:pt>
                <c:pt idx="44">
                  <c:v>11月</c:v>
                </c:pt>
              </c:strCache>
            </c:strRef>
          </c:cat>
          <c:val>
            <c:numRef>
              <c:f>YTR!$AL$13:$AL$60</c:f>
              <c:numCache>
                <c:formatCode>General</c:formatCode>
                <c:ptCount val="48"/>
                <c:pt idx="0">
                  <c:v>16.5</c:v>
                </c:pt>
                <c:pt idx="1">
                  <c:v>8.0357142857142865</c:v>
                </c:pt>
                <c:pt idx="2">
                  <c:v>2.9166666666666665</c:v>
                </c:pt>
                <c:pt idx="3">
                  <c:v>1.75</c:v>
                </c:pt>
                <c:pt idx="4">
                  <c:v>2.9166666666666665</c:v>
                </c:pt>
                <c:pt idx="5">
                  <c:v>9.6875</c:v>
                </c:pt>
                <c:pt idx="6">
                  <c:v>6.041666666666667</c:v>
                </c:pt>
                <c:pt idx="7">
                  <c:v>123.5</c:v>
                </c:pt>
                <c:pt idx="8">
                  <c:v>127.08333333333333</c:v>
                </c:pt>
                <c:pt idx="9">
                  <c:v>124.58333333333333</c:v>
                </c:pt>
                <c:pt idx="10">
                  <c:v>96.25</c:v>
                </c:pt>
                <c:pt idx="11">
                  <c:v>87.916666666666671</c:v>
                </c:pt>
                <c:pt idx="12">
                  <c:v>107.61904761904761</c:v>
                </c:pt>
                <c:pt idx="13">
                  <c:v>37.916666666666664</c:v>
                </c:pt>
                <c:pt idx="14">
                  <c:v>80</c:v>
                </c:pt>
                <c:pt idx="15">
                  <c:v>54.375</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numCache>
            </c:numRef>
          </c:val>
          <c:smooth val="0"/>
          <c:extLst>
            <c:ext xmlns:c16="http://schemas.microsoft.com/office/drawing/2014/chart" uri="{C3380CC4-5D6E-409C-BE32-E72D297353CC}">
              <c16:uniqueId val="{00000003-81D9-4704-9BCD-0E58DA8487B9}"/>
            </c:ext>
          </c:extLst>
        </c:ser>
        <c:dLbls>
          <c:showLegendKey val="0"/>
          <c:showVal val="0"/>
          <c:showCatName val="0"/>
          <c:showSerName val="0"/>
          <c:showPercent val="0"/>
          <c:showBubbleSize val="0"/>
        </c:dLbls>
        <c:marker val="1"/>
        <c:smooth val="0"/>
        <c:axId val="700297976"/>
        <c:axId val="700302288"/>
      </c:lineChart>
      <c:catAx>
        <c:axId val="700297976"/>
        <c:scaling>
          <c:orientation val="minMax"/>
        </c:scaling>
        <c:delete val="0"/>
        <c:axPos val="b"/>
        <c:majorGridlines>
          <c:spPr>
            <a:ln w="3175">
              <a:solidFill>
                <a:srgbClr val="000000"/>
              </a:solidFill>
              <a:prstDash val="solid"/>
            </a:ln>
          </c:spPr>
        </c:majorGridlines>
        <c:numFmt formatCode="General" sourceLinked="1"/>
        <c:majorTickMark val="in"/>
        <c:minorTickMark val="none"/>
        <c:tickLblPos val="nextTo"/>
        <c:spPr>
          <a:ln w="3175">
            <a:solidFill>
              <a:srgbClr val="000000"/>
            </a:solidFill>
            <a:prstDash val="solid"/>
          </a:ln>
        </c:spPr>
        <c:txPr>
          <a:bodyPr rot="0" vert="horz"/>
          <a:lstStyle/>
          <a:p>
            <a:pPr>
              <a:defRPr/>
            </a:pPr>
            <a:endParaRPr lang="ja-JP"/>
          </a:p>
        </c:txPr>
        <c:crossAx val="700302288"/>
        <c:crosses val="autoZero"/>
        <c:auto val="1"/>
        <c:lblAlgn val="ctr"/>
        <c:lblOffset val="100"/>
        <c:tickLblSkip val="2"/>
        <c:tickMarkSkip val="6"/>
        <c:noMultiLvlLbl val="0"/>
      </c:catAx>
      <c:valAx>
        <c:axId val="700302288"/>
        <c:scaling>
          <c:orientation val="minMax"/>
          <c:max val="600"/>
          <c:min val="0"/>
        </c:scaling>
        <c:delete val="0"/>
        <c:axPos val="l"/>
        <c:majorGridlines>
          <c:spPr>
            <a:ln w="3175">
              <a:solidFill>
                <a:srgbClr val="000000"/>
              </a:solidFill>
              <a:prstDash val="solid"/>
            </a:ln>
          </c:spPr>
        </c:majorGridlines>
        <c:minorGridlines>
          <c:spPr>
            <a:ln>
              <a:noFill/>
            </a:ln>
          </c:spPr>
        </c:minorGridlines>
        <c:title>
          <c:tx>
            <c:rich>
              <a:bodyPr/>
              <a:lstStyle/>
              <a:p>
                <a:pPr>
                  <a:defRPr/>
                </a:pPr>
                <a:r>
                  <a:rPr lang="ja-JP"/>
                  <a:t>捕殺数（頭</a:t>
                </a:r>
                <a:r>
                  <a:rPr lang="en-US"/>
                  <a:t>/</a:t>
                </a:r>
                <a:r>
                  <a:rPr lang="ja-JP"/>
                  <a:t>半旬）</a:t>
                </a:r>
              </a:p>
            </c:rich>
          </c:tx>
          <c:layout>
            <c:manualLayout>
              <c:xMode val="edge"/>
              <c:yMode val="edge"/>
              <c:x val="1.0149237418197201E-3"/>
              <c:y val="0.2652477667187258"/>
            </c:manualLayout>
          </c:layout>
          <c:overlay val="0"/>
          <c:spPr>
            <a:noFill/>
            <a:ln w="25400">
              <a:noFill/>
            </a:ln>
          </c:spPr>
        </c:title>
        <c:numFmt formatCode="General" sourceLinked="0"/>
        <c:majorTickMark val="none"/>
        <c:minorTickMark val="none"/>
        <c:tickLblPos val="nextTo"/>
        <c:spPr>
          <a:ln w="3175" cmpd="sng">
            <a:solidFill>
              <a:srgbClr val="000000"/>
            </a:solidFill>
            <a:prstDash val="solid"/>
          </a:ln>
        </c:spPr>
        <c:txPr>
          <a:bodyPr rot="0" vert="horz"/>
          <a:lstStyle/>
          <a:p>
            <a:pPr>
              <a:defRPr/>
            </a:pPr>
            <a:endParaRPr lang="ja-JP"/>
          </a:p>
        </c:txPr>
        <c:crossAx val="700297976"/>
        <c:crosses val="autoZero"/>
        <c:crossBetween val="between"/>
        <c:majorUnit val="200"/>
      </c:valAx>
      <c:spPr>
        <a:noFill/>
        <a:ln w="25400">
          <a:noFill/>
        </a:ln>
      </c:spPr>
    </c:plotArea>
    <c:legend>
      <c:legendPos val="r"/>
      <c:layout>
        <c:manualLayout>
          <c:xMode val="edge"/>
          <c:yMode val="edge"/>
          <c:x val="0.68263816301196145"/>
          <c:y val="0.17981536549242694"/>
          <c:w val="0.2471230847961671"/>
          <c:h val="0.15449873664237077"/>
        </c:manualLayout>
      </c:layout>
      <c:overlay val="0"/>
      <c:spPr>
        <a:solidFill>
          <a:srgbClr val="FFFFFF"/>
        </a:solidFill>
        <a:ln w="3175">
          <a:solidFill>
            <a:srgbClr val="000000"/>
          </a:solidFill>
          <a:prstDash val="solid"/>
        </a:ln>
      </c:spPr>
    </c:legend>
    <c:plotVisOnly val="1"/>
    <c:dispBlanksAs val="gap"/>
    <c:showDLblsOverMax val="0"/>
  </c:chart>
  <c:spPr>
    <a:noFill/>
    <a:ln w="3175">
      <a:noFill/>
      <a:prstDash val="solid"/>
    </a:ln>
  </c:spPr>
  <c:txPr>
    <a:bodyPr/>
    <a:lstStyle/>
    <a:p>
      <a:pPr>
        <a:defRPr sz="2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defRPr>
      </a:pPr>
      <a:endParaRPr lang="ja-JP"/>
    </a:p>
  </c:txPr>
  <c:printSettings>
    <c:headerFooter alignWithMargins="0"/>
    <c:pageMargins b="1" l="0.75" r="0.75" t="1" header="0.51200000000000001" footer="0.51200000000000001"/>
    <c:pageSetup orientation="landscape" verticalDpi="1200"/>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ja-JP"/>
              <a:t>チャトゲコナジラミ　発生消長（黄色粘着トラップ）</a:t>
            </a:r>
          </a:p>
        </c:rich>
      </c:tx>
      <c:layout>
        <c:manualLayout>
          <c:xMode val="edge"/>
          <c:yMode val="edge"/>
          <c:x val="0.27849413086195446"/>
          <c:y val="3.0290210447638272E-2"/>
        </c:manualLayout>
      </c:layout>
      <c:overlay val="0"/>
      <c:spPr>
        <a:noFill/>
        <a:ln w="25400">
          <a:noFill/>
        </a:ln>
      </c:spPr>
    </c:title>
    <c:autoTitleDeleted val="0"/>
    <c:plotArea>
      <c:layout>
        <c:manualLayout>
          <c:layoutTarget val="inner"/>
          <c:xMode val="edge"/>
          <c:yMode val="edge"/>
          <c:x val="0.11901354536401638"/>
          <c:y val="0.13649133077696143"/>
          <c:w val="0.8509373634101316"/>
          <c:h val="0.74138199161178564"/>
        </c:manualLayout>
      </c:layout>
      <c:lineChart>
        <c:grouping val="standard"/>
        <c:varyColors val="0"/>
        <c:ser>
          <c:idx val="1"/>
          <c:order val="0"/>
          <c:tx>
            <c:strRef>
              <c:f>チャトゲ!$E$4</c:f>
              <c:strCache>
                <c:ptCount val="1"/>
                <c:pt idx="0">
                  <c:v>平年（過去10年）</c:v>
                </c:pt>
              </c:strCache>
            </c:strRef>
          </c:tx>
          <c:spPr>
            <a:ln w="25400">
              <a:solidFill>
                <a:srgbClr val="C00000"/>
              </a:solidFill>
              <a:prstDash val="solid"/>
            </a:ln>
          </c:spPr>
          <c:marker>
            <c:symbol val="triangle"/>
            <c:size val="8"/>
            <c:spPr>
              <a:solidFill>
                <a:srgbClr val="C00000"/>
              </a:solidFill>
              <a:ln>
                <a:solidFill>
                  <a:srgbClr val="C00000"/>
                </a:solidFill>
                <a:prstDash val="solid"/>
              </a:ln>
            </c:spPr>
          </c:marker>
          <c:cat>
            <c:strRef>
              <c:f>チャトゲ!$B$12:$B$65</c:f>
              <c:strCache>
                <c:ptCount val="45"/>
                <c:pt idx="2">
                  <c:v>4月</c:v>
                </c:pt>
                <c:pt idx="8">
                  <c:v>5月</c:v>
                </c:pt>
                <c:pt idx="14">
                  <c:v>6月</c:v>
                </c:pt>
                <c:pt idx="20">
                  <c:v>7月</c:v>
                </c:pt>
                <c:pt idx="26">
                  <c:v>8月</c:v>
                </c:pt>
                <c:pt idx="32">
                  <c:v>9月</c:v>
                </c:pt>
                <c:pt idx="38">
                  <c:v>10月</c:v>
                </c:pt>
                <c:pt idx="44">
                  <c:v>11月</c:v>
                </c:pt>
              </c:strCache>
            </c:strRef>
          </c:cat>
          <c:val>
            <c:numRef>
              <c:f>チャトゲ!$E$12:$E$59</c:f>
              <c:numCache>
                <c:formatCode>0.0;;0</c:formatCode>
                <c:ptCount val="48"/>
                <c:pt idx="0">
                  <c:v>2.06</c:v>
                </c:pt>
                <c:pt idx="1">
                  <c:v>17.07</c:v>
                </c:pt>
                <c:pt idx="2">
                  <c:v>71.664999999999992</c:v>
                </c:pt>
                <c:pt idx="3">
                  <c:v>314.88299999999998</c:v>
                </c:pt>
                <c:pt idx="4">
                  <c:v>380.13200000000001</c:v>
                </c:pt>
                <c:pt idx="5">
                  <c:v>355.91314285714282</c:v>
                </c:pt>
                <c:pt idx="6">
                  <c:v>327.7764285714286</c:v>
                </c:pt>
                <c:pt idx="7">
                  <c:v>292.10500000000002</c:v>
                </c:pt>
                <c:pt idx="8">
                  <c:v>281.29899999999998</c:v>
                </c:pt>
                <c:pt idx="9">
                  <c:v>199.20099999999999</c:v>
                </c:pt>
                <c:pt idx="10">
                  <c:v>76.458999999999989</c:v>
                </c:pt>
                <c:pt idx="11">
                  <c:v>34.890999999999998</c:v>
                </c:pt>
                <c:pt idx="12">
                  <c:v>6.4060000000000006</c:v>
                </c:pt>
                <c:pt idx="13">
                  <c:v>1.254</c:v>
                </c:pt>
                <c:pt idx="14">
                  <c:v>1.1300000000000001</c:v>
                </c:pt>
                <c:pt idx="15">
                  <c:v>0.375</c:v>
                </c:pt>
                <c:pt idx="16">
                  <c:v>7.3950000000000005</c:v>
                </c:pt>
                <c:pt idx="17">
                  <c:v>130.46714285714285</c:v>
                </c:pt>
                <c:pt idx="18">
                  <c:v>463.91885714285718</c:v>
                </c:pt>
                <c:pt idx="19">
                  <c:v>618.63700000000006</c:v>
                </c:pt>
                <c:pt idx="20">
                  <c:v>627.80899999999997</c:v>
                </c:pt>
                <c:pt idx="21">
                  <c:v>379.68899999999996</c:v>
                </c:pt>
                <c:pt idx="22">
                  <c:v>64.267166666666668</c:v>
                </c:pt>
                <c:pt idx="23">
                  <c:v>6.4066666666666663</c:v>
                </c:pt>
                <c:pt idx="24">
                  <c:v>4.2309999999999999</c:v>
                </c:pt>
                <c:pt idx="25">
                  <c:v>12.657</c:v>
                </c:pt>
                <c:pt idx="26">
                  <c:v>61.968000000000004</c:v>
                </c:pt>
                <c:pt idx="27">
                  <c:v>253.44699999999997</c:v>
                </c:pt>
                <c:pt idx="28">
                  <c:v>638.87599999999998</c:v>
                </c:pt>
                <c:pt idx="29">
                  <c:v>767.96566666666672</c:v>
                </c:pt>
                <c:pt idx="30">
                  <c:v>498.86100000000005</c:v>
                </c:pt>
                <c:pt idx="31">
                  <c:v>212.92600000000002</c:v>
                </c:pt>
                <c:pt idx="32">
                  <c:v>97.183000000000007</c:v>
                </c:pt>
                <c:pt idx="33">
                  <c:v>65.44550000000001</c:v>
                </c:pt>
                <c:pt idx="34">
                  <c:v>40.173000000000002</c:v>
                </c:pt>
                <c:pt idx="35">
                  <c:v>80.565285714285707</c:v>
                </c:pt>
                <c:pt idx="36">
                  <c:v>53.702714285714286</c:v>
                </c:pt>
                <c:pt idx="37">
                  <c:v>101.54599999999999</c:v>
                </c:pt>
                <c:pt idx="38">
                  <c:v>248.76096428571427</c:v>
                </c:pt>
                <c:pt idx="39">
                  <c:v>230.15875</c:v>
                </c:pt>
                <c:pt idx="40">
                  <c:v>255.44625000000002</c:v>
                </c:pt>
                <c:pt idx="41">
                  <c:v>124.50425</c:v>
                </c:pt>
                <c:pt idx="42">
                  <c:v>45.741499999999995</c:v>
                </c:pt>
                <c:pt idx="43">
                  <c:v>32.100999999999999</c:v>
                </c:pt>
                <c:pt idx="44">
                  <c:v>13.919</c:v>
                </c:pt>
                <c:pt idx="45">
                  <c:v>14.250999999999999</c:v>
                </c:pt>
                <c:pt idx="46">
                  <c:v>10.443000000000001</c:v>
                </c:pt>
                <c:pt idx="47">
                  <c:v>0.99600000000000011</c:v>
                </c:pt>
              </c:numCache>
            </c:numRef>
          </c:val>
          <c:smooth val="0"/>
          <c:extLst>
            <c:ext xmlns:c16="http://schemas.microsoft.com/office/drawing/2014/chart" uri="{C3380CC4-5D6E-409C-BE32-E72D297353CC}">
              <c16:uniqueId val="{00000000-E693-438D-96C2-F4EB5E62D519}"/>
            </c:ext>
          </c:extLst>
        </c:ser>
        <c:ser>
          <c:idx val="2"/>
          <c:order val="1"/>
          <c:tx>
            <c:strRef>
              <c:f>チャトゲ!$D$4</c:f>
              <c:strCache>
                <c:ptCount val="1"/>
                <c:pt idx="0">
                  <c:v>2026年</c:v>
                </c:pt>
              </c:strCache>
            </c:strRef>
          </c:tx>
          <c:spPr>
            <a:ln>
              <a:solidFill>
                <a:srgbClr val="0000FF"/>
              </a:solidFill>
            </a:ln>
          </c:spPr>
          <c:marker>
            <c:symbol val="circle"/>
            <c:size val="7"/>
            <c:spPr>
              <a:solidFill>
                <a:srgbClr val="0000FF"/>
              </a:solidFill>
              <a:ln>
                <a:solidFill>
                  <a:srgbClr val="0000FF"/>
                </a:solidFill>
              </a:ln>
            </c:spPr>
          </c:marker>
          <c:cat>
            <c:strRef>
              <c:f>チャトゲ!$B$12:$B$65</c:f>
              <c:strCache>
                <c:ptCount val="45"/>
                <c:pt idx="2">
                  <c:v>4月</c:v>
                </c:pt>
                <c:pt idx="8">
                  <c:v>5月</c:v>
                </c:pt>
                <c:pt idx="14">
                  <c:v>6月</c:v>
                </c:pt>
                <c:pt idx="20">
                  <c:v>7月</c:v>
                </c:pt>
                <c:pt idx="26">
                  <c:v>8月</c:v>
                </c:pt>
                <c:pt idx="32">
                  <c:v>9月</c:v>
                </c:pt>
                <c:pt idx="38">
                  <c:v>10月</c:v>
                </c:pt>
                <c:pt idx="44">
                  <c:v>11月</c:v>
                </c:pt>
              </c:strCache>
            </c:strRef>
          </c:cat>
          <c:val>
            <c:numRef>
              <c:f>チャトゲ!$AC$12:$AC$59</c:f>
              <c:numCache>
                <c:formatCode>General</c:formatCode>
                <c:ptCount val="48"/>
                <c:pt idx="0">
                  <c:v>0</c:v>
                </c:pt>
                <c:pt idx="1">
                  <c:v>0.7142857142857143</c:v>
                </c:pt>
                <c:pt idx="2">
                  <c:v>1.25</c:v>
                </c:pt>
                <c:pt idx="3">
                  <c:v>38.75</c:v>
                </c:pt>
                <c:pt idx="4">
                  <c:v>44.375</c:v>
                </c:pt>
                <c:pt idx="5">
                  <c:v>55.3125</c:v>
                </c:pt>
                <c:pt idx="6">
                  <c:v>21.875</c:v>
                </c:pt>
                <c:pt idx="7">
                  <c:v>48.25</c:v>
                </c:pt>
                <c:pt idx="8">
                  <c:v>58.333333333333336</c:v>
                </c:pt>
                <c:pt idx="9">
                  <c:v>51.25</c:v>
                </c:pt>
                <c:pt idx="10">
                  <c:v>16</c:v>
                </c:pt>
                <c:pt idx="11">
                  <c:v>4.791666666666667</c:v>
                </c:pt>
                <c:pt idx="12">
                  <c:v>0.7142857142857143</c:v>
                </c:pt>
                <c:pt idx="13">
                  <c:v>2.0833333333333335</c:v>
                </c:pt>
                <c:pt idx="14">
                  <c:v>1.95</c:v>
                </c:pt>
                <c:pt idx="15">
                  <c:v>0.41666666666666669</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numCache>
            </c:numRef>
          </c:val>
          <c:smooth val="0"/>
          <c:extLst>
            <c:ext xmlns:c16="http://schemas.microsoft.com/office/drawing/2014/chart" uri="{C3380CC4-5D6E-409C-BE32-E72D297353CC}">
              <c16:uniqueId val="{00000001-E693-438D-96C2-F4EB5E62D519}"/>
            </c:ext>
          </c:extLst>
        </c:ser>
        <c:dLbls>
          <c:showLegendKey val="0"/>
          <c:showVal val="0"/>
          <c:showCatName val="0"/>
          <c:showSerName val="0"/>
          <c:showPercent val="0"/>
          <c:showBubbleSize val="0"/>
        </c:dLbls>
        <c:marker val="1"/>
        <c:smooth val="0"/>
        <c:axId val="700303072"/>
        <c:axId val="700303464"/>
      </c:lineChart>
      <c:catAx>
        <c:axId val="700303072"/>
        <c:scaling>
          <c:orientation val="minMax"/>
        </c:scaling>
        <c:delete val="0"/>
        <c:axPos val="b"/>
        <c:majorGridlines>
          <c:spPr>
            <a:ln w="3175">
              <a:solidFill>
                <a:srgbClr val="000000"/>
              </a:solidFill>
              <a:prstDash val="solid"/>
            </a:ln>
          </c:spPr>
        </c:majorGridlines>
        <c:numFmt formatCode="General" sourceLinked="1"/>
        <c:majorTickMark val="in"/>
        <c:minorTickMark val="none"/>
        <c:tickLblPos val="nextTo"/>
        <c:spPr>
          <a:ln w="3175">
            <a:solidFill>
              <a:srgbClr val="000000"/>
            </a:solidFill>
            <a:prstDash val="solid"/>
          </a:ln>
        </c:spPr>
        <c:txPr>
          <a:bodyPr rot="0" vert="horz"/>
          <a:lstStyle/>
          <a:p>
            <a:pPr>
              <a:defRPr/>
            </a:pPr>
            <a:endParaRPr lang="ja-JP"/>
          </a:p>
        </c:txPr>
        <c:crossAx val="700303464"/>
        <c:crosses val="autoZero"/>
        <c:auto val="1"/>
        <c:lblAlgn val="ctr"/>
        <c:lblOffset val="100"/>
        <c:tickLblSkip val="2"/>
        <c:tickMarkSkip val="6"/>
        <c:noMultiLvlLbl val="0"/>
      </c:catAx>
      <c:valAx>
        <c:axId val="700303464"/>
        <c:scaling>
          <c:orientation val="minMax"/>
          <c:max val="1000"/>
          <c:min val="0"/>
        </c:scaling>
        <c:delete val="0"/>
        <c:axPos val="l"/>
        <c:majorGridlines>
          <c:spPr>
            <a:ln w="3175">
              <a:solidFill>
                <a:srgbClr val="000000"/>
              </a:solidFill>
              <a:prstDash val="solid"/>
            </a:ln>
          </c:spPr>
        </c:majorGridlines>
        <c:title>
          <c:tx>
            <c:rich>
              <a:bodyPr/>
              <a:lstStyle/>
              <a:p>
                <a:pPr>
                  <a:defRPr/>
                </a:pPr>
                <a:r>
                  <a:rPr lang="ja-JP"/>
                  <a:t>成虫誘殺数（頭</a:t>
                </a:r>
                <a:r>
                  <a:rPr lang="en-US"/>
                  <a:t>/</a:t>
                </a:r>
                <a:r>
                  <a:rPr lang="ja-JP"/>
                  <a:t>半旬）</a:t>
                </a:r>
              </a:p>
            </c:rich>
          </c:tx>
          <c:layout>
            <c:manualLayout>
              <c:xMode val="edge"/>
              <c:yMode val="edge"/>
              <c:x val="1.3496959875505297E-4"/>
              <c:y val="0.25837821841787945"/>
            </c:manualLayout>
          </c:layout>
          <c:overlay val="0"/>
          <c:spPr>
            <a:noFill/>
            <a:ln w="25400">
              <a:noFill/>
            </a:ln>
          </c:spPr>
        </c:title>
        <c:numFmt formatCode="General" sourceLinked="0"/>
        <c:majorTickMark val="in"/>
        <c:minorTickMark val="none"/>
        <c:tickLblPos val="nextTo"/>
        <c:spPr>
          <a:ln w="3175">
            <a:solidFill>
              <a:srgbClr val="000000"/>
            </a:solidFill>
            <a:prstDash val="solid"/>
          </a:ln>
        </c:spPr>
        <c:txPr>
          <a:bodyPr rot="0" vert="horz"/>
          <a:lstStyle/>
          <a:p>
            <a:pPr>
              <a:defRPr/>
            </a:pPr>
            <a:endParaRPr lang="ja-JP"/>
          </a:p>
        </c:txPr>
        <c:crossAx val="700303072"/>
        <c:crosses val="autoZero"/>
        <c:crossBetween val="between"/>
        <c:majorUnit val="200"/>
        <c:minorUnit val="50"/>
      </c:valAx>
      <c:spPr>
        <a:noFill/>
        <a:ln w="12700">
          <a:solidFill>
            <a:sysClr val="windowText" lastClr="000000"/>
          </a:solidFill>
          <a:prstDash val="solid"/>
        </a:ln>
      </c:spPr>
    </c:plotArea>
    <c:legend>
      <c:legendPos val="r"/>
      <c:layout>
        <c:manualLayout>
          <c:xMode val="edge"/>
          <c:yMode val="edge"/>
          <c:x val="0.69371057383091694"/>
          <c:y val="0.19395379515439001"/>
          <c:w val="0.24235250376606587"/>
          <c:h val="0.15870580548276822"/>
        </c:manualLayout>
      </c:layout>
      <c:overlay val="0"/>
      <c:spPr>
        <a:solidFill>
          <a:srgbClr val="FFFFFF"/>
        </a:solidFill>
        <a:ln w="3175">
          <a:solidFill>
            <a:srgbClr val="000000"/>
          </a:solidFill>
          <a:prstDash val="solid"/>
        </a:ln>
      </c:spPr>
    </c:legend>
    <c:plotVisOnly val="1"/>
    <c:dispBlanksAs val="gap"/>
    <c:showDLblsOverMax val="0"/>
  </c:chart>
  <c:spPr>
    <a:noFill/>
    <a:ln w="3175">
      <a:noFill/>
      <a:prstDash val="solid"/>
    </a:ln>
  </c:spPr>
  <c:txPr>
    <a:bodyPr/>
    <a:lstStyle/>
    <a:p>
      <a:pPr>
        <a:defRPr sz="2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defRPr>
      </a:pPr>
      <a:endParaRPr lang="ja-JP"/>
    </a:p>
  </c:txPr>
  <c:printSettings>
    <c:headerFooter alignWithMargins="0"/>
    <c:pageMargins b="1" l="0.75" r="0.75" t="1" header="0.51200000000000001" footer="0.51200000000000001"/>
    <c:pageSetup orientation="landscape"/>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ja-JP"/>
              <a:t>チャノミドリヒメヨコバイ　発生消長（黄色粘着トラップ）</a:t>
            </a:r>
          </a:p>
        </c:rich>
      </c:tx>
      <c:layout>
        <c:manualLayout>
          <c:xMode val="edge"/>
          <c:yMode val="edge"/>
          <c:x val="0.2415521966832519"/>
          <c:y val="5.6612006068048823E-3"/>
        </c:manualLayout>
      </c:layout>
      <c:overlay val="0"/>
      <c:spPr>
        <a:noFill/>
        <a:ln w="25400">
          <a:noFill/>
        </a:ln>
      </c:spPr>
    </c:title>
    <c:autoTitleDeleted val="0"/>
    <c:plotArea>
      <c:layout>
        <c:manualLayout>
          <c:layoutTarget val="inner"/>
          <c:xMode val="edge"/>
          <c:yMode val="edge"/>
          <c:x val="0.10086162198816941"/>
          <c:y val="0.12643237547547936"/>
          <c:w val="0.87160296442085916"/>
          <c:h val="0.72547726985555971"/>
        </c:manualLayout>
      </c:layout>
      <c:lineChart>
        <c:grouping val="standard"/>
        <c:varyColors val="0"/>
        <c:ser>
          <c:idx val="1"/>
          <c:order val="0"/>
          <c:tx>
            <c:v>平年（過去10年）</c:v>
          </c:tx>
          <c:spPr>
            <a:ln w="25400">
              <a:solidFill>
                <a:srgbClr val="C00000"/>
              </a:solidFill>
              <a:prstDash val="solid"/>
            </a:ln>
          </c:spPr>
          <c:marker>
            <c:symbol val="triangle"/>
            <c:size val="8"/>
            <c:spPr>
              <a:solidFill>
                <a:srgbClr val="C00000"/>
              </a:solidFill>
              <a:ln>
                <a:solidFill>
                  <a:srgbClr val="C00000"/>
                </a:solidFill>
                <a:prstDash val="solid"/>
              </a:ln>
            </c:spPr>
          </c:marker>
          <c:cat>
            <c:strRef>
              <c:f>ヨコバイ!$B$13:$B$60</c:f>
              <c:strCache>
                <c:ptCount val="45"/>
                <c:pt idx="2">
                  <c:v>4月</c:v>
                </c:pt>
                <c:pt idx="8">
                  <c:v>5月</c:v>
                </c:pt>
                <c:pt idx="14">
                  <c:v>6月</c:v>
                </c:pt>
                <c:pt idx="20">
                  <c:v>7月</c:v>
                </c:pt>
                <c:pt idx="26">
                  <c:v>8月</c:v>
                </c:pt>
                <c:pt idx="32">
                  <c:v>9月</c:v>
                </c:pt>
                <c:pt idx="38">
                  <c:v>10月</c:v>
                </c:pt>
                <c:pt idx="44">
                  <c:v>11月</c:v>
                </c:pt>
              </c:strCache>
            </c:strRef>
          </c:cat>
          <c:val>
            <c:numRef>
              <c:f>YTR!$F$13:$F$60</c:f>
              <c:numCache>
                <c:formatCode>0.0;;0</c:formatCode>
                <c:ptCount val="48"/>
                <c:pt idx="0">
                  <c:v>1.2970000000000002</c:v>
                </c:pt>
                <c:pt idx="1">
                  <c:v>0.98100000000000009</c:v>
                </c:pt>
                <c:pt idx="2">
                  <c:v>0.85599999999999987</c:v>
                </c:pt>
                <c:pt idx="3">
                  <c:v>1.1460000000000001</c:v>
                </c:pt>
                <c:pt idx="4">
                  <c:v>0.87100000000000011</c:v>
                </c:pt>
                <c:pt idx="5">
                  <c:v>0.64385714285714291</c:v>
                </c:pt>
                <c:pt idx="6">
                  <c:v>0.78928571428571426</c:v>
                </c:pt>
                <c:pt idx="7">
                  <c:v>3.1012500000000003</c:v>
                </c:pt>
                <c:pt idx="8">
                  <c:v>7.5917499999999993</c:v>
                </c:pt>
                <c:pt idx="9">
                  <c:v>14.026999999999997</c:v>
                </c:pt>
                <c:pt idx="10">
                  <c:v>10.153</c:v>
                </c:pt>
                <c:pt idx="11">
                  <c:v>9.847999999999999</c:v>
                </c:pt>
                <c:pt idx="12">
                  <c:v>5.1480000000000006</c:v>
                </c:pt>
                <c:pt idx="13">
                  <c:v>5.8319999999999999</c:v>
                </c:pt>
                <c:pt idx="14">
                  <c:v>5.1049999999999995</c:v>
                </c:pt>
                <c:pt idx="15">
                  <c:v>9.706999999999999</c:v>
                </c:pt>
                <c:pt idx="16">
                  <c:v>19.288</c:v>
                </c:pt>
                <c:pt idx="17">
                  <c:v>29.875714285714288</c:v>
                </c:pt>
                <c:pt idx="18">
                  <c:v>25.380285714285712</c:v>
                </c:pt>
                <c:pt idx="19">
                  <c:v>11.796000000000001</c:v>
                </c:pt>
                <c:pt idx="20">
                  <c:v>10.533999999999999</c:v>
                </c:pt>
                <c:pt idx="21">
                  <c:v>7.6689999999999996</c:v>
                </c:pt>
                <c:pt idx="22">
                  <c:v>4.2549999999999999</c:v>
                </c:pt>
                <c:pt idx="23">
                  <c:v>3.6653333333333338</c:v>
                </c:pt>
                <c:pt idx="24">
                  <c:v>3.3409999999999997</c:v>
                </c:pt>
                <c:pt idx="25">
                  <c:v>4.0009999999999994</c:v>
                </c:pt>
                <c:pt idx="26">
                  <c:v>2.5255000000000001</c:v>
                </c:pt>
                <c:pt idx="27">
                  <c:v>2.6636666666666668</c:v>
                </c:pt>
                <c:pt idx="28">
                  <c:v>2.39</c:v>
                </c:pt>
                <c:pt idx="29">
                  <c:v>1.5441666666666667</c:v>
                </c:pt>
                <c:pt idx="30">
                  <c:v>2.1059999999999999</c:v>
                </c:pt>
                <c:pt idx="31">
                  <c:v>2.0082857142857145</c:v>
                </c:pt>
                <c:pt idx="32">
                  <c:v>3.3280000000000003</c:v>
                </c:pt>
                <c:pt idx="33">
                  <c:v>3.8233333333333333</c:v>
                </c:pt>
                <c:pt idx="34">
                  <c:v>5.3349999999999991</c:v>
                </c:pt>
                <c:pt idx="35">
                  <c:v>5.6204285714285716</c:v>
                </c:pt>
                <c:pt idx="36">
                  <c:v>7.8605714285714283</c:v>
                </c:pt>
                <c:pt idx="37">
                  <c:v>9.0239999999999991</c:v>
                </c:pt>
                <c:pt idx="38">
                  <c:v>5.7537857142857138</c:v>
                </c:pt>
                <c:pt idx="39">
                  <c:v>5.4874999999999998</c:v>
                </c:pt>
                <c:pt idx="40">
                  <c:v>3.4225000000000003</c:v>
                </c:pt>
                <c:pt idx="41">
                  <c:v>3.120625</c:v>
                </c:pt>
                <c:pt idx="42">
                  <c:v>1.6118749999999999</c:v>
                </c:pt>
                <c:pt idx="43">
                  <c:v>0.86099999999999999</c:v>
                </c:pt>
                <c:pt idx="44">
                  <c:v>0.53171428571428569</c:v>
                </c:pt>
                <c:pt idx="45">
                  <c:v>0.3972857142857143</c:v>
                </c:pt>
                <c:pt idx="46">
                  <c:v>0.58100000000000007</c:v>
                </c:pt>
                <c:pt idx="47">
                  <c:v>0.33399999999999996</c:v>
                </c:pt>
              </c:numCache>
            </c:numRef>
          </c:val>
          <c:smooth val="0"/>
          <c:extLst>
            <c:ext xmlns:c16="http://schemas.microsoft.com/office/drawing/2014/chart" uri="{C3380CC4-5D6E-409C-BE32-E72D297353CC}">
              <c16:uniqueId val="{00000000-AFBC-49AA-9F48-655FCD59DD6E}"/>
            </c:ext>
          </c:extLst>
        </c:ser>
        <c:ser>
          <c:idx val="0"/>
          <c:order val="1"/>
          <c:tx>
            <c:strRef>
              <c:f>YTR!$D$6</c:f>
              <c:strCache>
                <c:ptCount val="1"/>
                <c:pt idx="0">
                  <c:v>2026</c:v>
                </c:pt>
              </c:strCache>
            </c:strRef>
          </c:tx>
          <c:spPr>
            <a:ln w="25400">
              <a:solidFill>
                <a:srgbClr val="0000FF"/>
              </a:solidFill>
              <a:prstDash val="solid"/>
            </a:ln>
          </c:spPr>
          <c:marker>
            <c:symbol val="circle"/>
            <c:size val="8"/>
            <c:spPr>
              <a:solidFill>
                <a:srgbClr val="0000FF"/>
              </a:solidFill>
              <a:ln>
                <a:solidFill>
                  <a:srgbClr val="0000FF"/>
                </a:solidFill>
                <a:prstDash val="solid"/>
              </a:ln>
            </c:spPr>
          </c:marker>
          <c:dPt>
            <c:idx val="25"/>
            <c:bubble3D val="0"/>
            <c:extLst>
              <c:ext xmlns:c16="http://schemas.microsoft.com/office/drawing/2014/chart" uri="{C3380CC4-5D6E-409C-BE32-E72D297353CC}">
                <c16:uniqueId val="{00000001-AFBC-49AA-9F48-655FCD59DD6E}"/>
              </c:ext>
            </c:extLst>
          </c:dPt>
          <c:dPt>
            <c:idx val="26"/>
            <c:bubble3D val="0"/>
            <c:extLst>
              <c:ext xmlns:c16="http://schemas.microsoft.com/office/drawing/2014/chart" uri="{C3380CC4-5D6E-409C-BE32-E72D297353CC}">
                <c16:uniqueId val="{00000002-AFBC-49AA-9F48-655FCD59DD6E}"/>
              </c:ext>
            </c:extLst>
          </c:dPt>
          <c:cat>
            <c:strRef>
              <c:f>ヨコバイ!$B$13:$B$60</c:f>
              <c:strCache>
                <c:ptCount val="45"/>
                <c:pt idx="2">
                  <c:v>4月</c:v>
                </c:pt>
                <c:pt idx="8">
                  <c:v>5月</c:v>
                </c:pt>
                <c:pt idx="14">
                  <c:v>6月</c:v>
                </c:pt>
                <c:pt idx="20">
                  <c:v>7月</c:v>
                </c:pt>
                <c:pt idx="26">
                  <c:v>8月</c:v>
                </c:pt>
                <c:pt idx="32">
                  <c:v>9月</c:v>
                </c:pt>
                <c:pt idx="38">
                  <c:v>10月</c:v>
                </c:pt>
                <c:pt idx="44">
                  <c:v>11月</c:v>
                </c:pt>
              </c:strCache>
            </c:strRef>
          </c:cat>
          <c:val>
            <c:numRef>
              <c:f>YTR!$X$13:$X$60</c:f>
              <c:numCache>
                <c:formatCode>General</c:formatCode>
                <c:ptCount val="48"/>
                <c:pt idx="0">
                  <c:v>1.25</c:v>
                </c:pt>
                <c:pt idx="1">
                  <c:v>1.9642857142857142</c:v>
                </c:pt>
                <c:pt idx="2">
                  <c:v>2.0833333333333335</c:v>
                </c:pt>
                <c:pt idx="3">
                  <c:v>3</c:v>
                </c:pt>
                <c:pt idx="4">
                  <c:v>1.875</c:v>
                </c:pt>
                <c:pt idx="5">
                  <c:v>2.8125</c:v>
                </c:pt>
                <c:pt idx="6">
                  <c:v>1.25</c:v>
                </c:pt>
                <c:pt idx="7">
                  <c:v>1</c:v>
                </c:pt>
                <c:pt idx="8">
                  <c:v>2.2916666666666665</c:v>
                </c:pt>
                <c:pt idx="9">
                  <c:v>3.3333333333333335</c:v>
                </c:pt>
                <c:pt idx="10">
                  <c:v>7.5</c:v>
                </c:pt>
                <c:pt idx="11">
                  <c:v>6.25</c:v>
                </c:pt>
                <c:pt idx="12">
                  <c:v>5.9523809523809534</c:v>
                </c:pt>
                <c:pt idx="13">
                  <c:v>1.6666666666666667</c:v>
                </c:pt>
                <c:pt idx="14">
                  <c:v>1.7</c:v>
                </c:pt>
                <c:pt idx="15">
                  <c:v>10.833333333333334</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numCache>
            </c:numRef>
          </c:val>
          <c:smooth val="0"/>
          <c:extLst>
            <c:ext xmlns:c16="http://schemas.microsoft.com/office/drawing/2014/chart" uri="{C3380CC4-5D6E-409C-BE32-E72D297353CC}">
              <c16:uniqueId val="{00000003-AFBC-49AA-9F48-655FCD59DD6E}"/>
            </c:ext>
          </c:extLst>
        </c:ser>
        <c:dLbls>
          <c:showLegendKey val="0"/>
          <c:showVal val="0"/>
          <c:showCatName val="0"/>
          <c:showSerName val="0"/>
          <c:showPercent val="0"/>
          <c:showBubbleSize val="0"/>
        </c:dLbls>
        <c:marker val="1"/>
        <c:smooth val="0"/>
        <c:axId val="878264024"/>
        <c:axId val="878259320"/>
      </c:lineChart>
      <c:catAx>
        <c:axId val="878264024"/>
        <c:scaling>
          <c:orientation val="minMax"/>
        </c:scaling>
        <c:delete val="0"/>
        <c:axPos val="b"/>
        <c:majorGridlines>
          <c:spPr>
            <a:ln w="3175">
              <a:solidFill>
                <a:srgbClr val="000000"/>
              </a:solidFill>
              <a:prstDash val="solid"/>
            </a:ln>
          </c:spPr>
        </c:majorGridlines>
        <c:numFmt formatCode="General" sourceLinked="1"/>
        <c:majorTickMark val="in"/>
        <c:minorTickMark val="none"/>
        <c:tickLblPos val="nextTo"/>
        <c:spPr>
          <a:ln w="3175">
            <a:solidFill>
              <a:srgbClr val="000000"/>
            </a:solidFill>
            <a:prstDash val="solid"/>
          </a:ln>
        </c:spPr>
        <c:txPr>
          <a:bodyPr rot="0" vert="horz"/>
          <a:lstStyle/>
          <a:p>
            <a:pPr>
              <a:defRPr/>
            </a:pPr>
            <a:endParaRPr lang="ja-JP"/>
          </a:p>
        </c:txPr>
        <c:crossAx val="878259320"/>
        <c:crosses val="autoZero"/>
        <c:auto val="1"/>
        <c:lblAlgn val="ctr"/>
        <c:lblOffset val="100"/>
        <c:tickLblSkip val="2"/>
        <c:tickMarkSkip val="6"/>
        <c:noMultiLvlLbl val="0"/>
      </c:catAx>
      <c:valAx>
        <c:axId val="878259320"/>
        <c:scaling>
          <c:orientation val="minMax"/>
          <c:max val="60"/>
          <c:min val="0"/>
        </c:scaling>
        <c:delete val="0"/>
        <c:axPos val="l"/>
        <c:majorGridlines>
          <c:spPr>
            <a:ln w="3175">
              <a:solidFill>
                <a:srgbClr val="000000"/>
              </a:solidFill>
              <a:prstDash val="solid"/>
            </a:ln>
          </c:spPr>
        </c:majorGridlines>
        <c:title>
          <c:tx>
            <c:rich>
              <a:bodyPr/>
              <a:lstStyle/>
              <a:p>
                <a:pPr>
                  <a:defRPr/>
                </a:pPr>
                <a:r>
                  <a:rPr lang="ja-JP"/>
                  <a:t>捕獲数（頭</a:t>
                </a:r>
                <a:r>
                  <a:rPr lang="en-US"/>
                  <a:t>/</a:t>
                </a:r>
                <a:r>
                  <a:rPr lang="ja-JP"/>
                  <a:t>半旬）</a:t>
                </a:r>
              </a:p>
            </c:rich>
          </c:tx>
          <c:layout>
            <c:manualLayout>
              <c:xMode val="edge"/>
              <c:yMode val="edge"/>
              <c:x val="4.9330636955909942E-5"/>
              <c:y val="0.28542528788522847"/>
            </c:manualLayout>
          </c:layout>
          <c:overlay val="0"/>
          <c:spPr>
            <a:noFill/>
            <a:ln w="25400">
              <a:noFill/>
            </a:ln>
          </c:spPr>
        </c:title>
        <c:numFmt formatCode="General" sourceLinked="0"/>
        <c:majorTickMark val="none"/>
        <c:minorTickMark val="none"/>
        <c:tickLblPos val="nextTo"/>
        <c:spPr>
          <a:ln w="3175">
            <a:solidFill>
              <a:srgbClr val="000000"/>
            </a:solidFill>
            <a:prstDash val="solid"/>
          </a:ln>
        </c:spPr>
        <c:txPr>
          <a:bodyPr rot="0" vert="horz"/>
          <a:lstStyle/>
          <a:p>
            <a:pPr>
              <a:defRPr/>
            </a:pPr>
            <a:endParaRPr lang="ja-JP"/>
          </a:p>
        </c:txPr>
        <c:crossAx val="878264024"/>
        <c:crosses val="autoZero"/>
        <c:crossBetween val="between"/>
        <c:majorUnit val="15"/>
      </c:valAx>
      <c:spPr>
        <a:noFill/>
        <a:ln w="12700">
          <a:solidFill>
            <a:sysClr val="windowText" lastClr="000000"/>
          </a:solidFill>
          <a:prstDash val="solid"/>
        </a:ln>
      </c:spPr>
    </c:plotArea>
    <c:legend>
      <c:legendPos val="r"/>
      <c:layout>
        <c:manualLayout>
          <c:xMode val="edge"/>
          <c:yMode val="edge"/>
          <c:x val="0.47869854245348403"/>
          <c:y val="0.20578517750134598"/>
          <c:w val="0.24659693800516772"/>
          <c:h val="0.13998200123223967"/>
        </c:manualLayout>
      </c:layout>
      <c:overlay val="0"/>
      <c:spPr>
        <a:solidFill>
          <a:srgbClr val="FFFFFF"/>
        </a:solidFill>
        <a:ln w="3175">
          <a:solidFill>
            <a:srgbClr val="000000"/>
          </a:solidFill>
          <a:prstDash val="solid"/>
        </a:ln>
      </c:spPr>
    </c:legend>
    <c:plotVisOnly val="1"/>
    <c:dispBlanksAs val="gap"/>
    <c:showDLblsOverMax val="0"/>
  </c:chart>
  <c:spPr>
    <a:noFill/>
    <a:ln w="3175">
      <a:noFill/>
      <a:prstDash val="solid"/>
    </a:ln>
  </c:spPr>
  <c:txPr>
    <a:bodyPr/>
    <a:lstStyle/>
    <a:p>
      <a:pPr>
        <a:defRPr sz="2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defRPr>
      </a:pPr>
      <a:endParaRPr lang="ja-JP"/>
    </a:p>
  </c:txPr>
  <c:printSettings>
    <c:headerFooter alignWithMargins="0"/>
    <c:pageMargins b="1" l="0.75" r="0.75" t="1" header="0.51200000000000001" footer="0.51200000000000001"/>
    <c:pageSetup orientation="landscape" verticalDpi="1200"/>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ja-JP"/>
              <a:t>カンザワハダニ　発生消長（寄生葉率）</a:t>
            </a:r>
          </a:p>
        </c:rich>
      </c:tx>
      <c:layout>
        <c:manualLayout>
          <c:xMode val="edge"/>
          <c:yMode val="edge"/>
          <c:x val="0.31108930755383324"/>
          <c:y val="7.5281423155438921E-3"/>
        </c:manualLayout>
      </c:layout>
      <c:overlay val="0"/>
      <c:spPr>
        <a:noFill/>
        <a:ln w="25400">
          <a:noFill/>
        </a:ln>
      </c:spPr>
    </c:title>
    <c:autoTitleDeleted val="0"/>
    <c:plotArea>
      <c:layout>
        <c:manualLayout>
          <c:layoutTarget val="inner"/>
          <c:xMode val="edge"/>
          <c:yMode val="edge"/>
          <c:x val="0.11421096370372914"/>
          <c:y val="0.13009118398326366"/>
          <c:w val="0.86360476925058605"/>
          <c:h val="0.74903130100378479"/>
        </c:manualLayout>
      </c:layout>
      <c:lineChart>
        <c:grouping val="standard"/>
        <c:varyColors val="0"/>
        <c:ser>
          <c:idx val="3"/>
          <c:order val="0"/>
          <c:tx>
            <c:strRef>
              <c:f>ハダニ!$E$5</c:f>
              <c:strCache>
                <c:ptCount val="1"/>
                <c:pt idx="0">
                  <c:v>平年（過去10年）</c:v>
                </c:pt>
              </c:strCache>
            </c:strRef>
          </c:tx>
          <c:spPr>
            <a:ln w="25400" cmpd="sng">
              <a:solidFill>
                <a:srgbClr val="C00000"/>
              </a:solidFill>
              <a:prstDash val="solid"/>
            </a:ln>
          </c:spPr>
          <c:marker>
            <c:symbol val="triangle"/>
            <c:size val="7"/>
            <c:spPr>
              <a:solidFill>
                <a:srgbClr val="C00000"/>
              </a:solidFill>
              <a:ln>
                <a:solidFill>
                  <a:srgbClr val="C00000"/>
                </a:solidFill>
              </a:ln>
            </c:spPr>
          </c:marker>
          <c:cat>
            <c:strRef>
              <c:f>ハダニ!$B$7:$B$42</c:f>
              <c:strCache>
                <c:ptCount val="35"/>
                <c:pt idx="1">
                  <c:v>1月</c:v>
                </c:pt>
                <c:pt idx="4">
                  <c:v>2月</c:v>
                </c:pt>
                <c:pt idx="7">
                  <c:v>3月</c:v>
                </c:pt>
                <c:pt idx="10">
                  <c:v>4月</c:v>
                </c:pt>
                <c:pt idx="13">
                  <c:v>5月</c:v>
                </c:pt>
                <c:pt idx="16">
                  <c:v>6月</c:v>
                </c:pt>
                <c:pt idx="19">
                  <c:v>7月</c:v>
                </c:pt>
                <c:pt idx="22">
                  <c:v>8月</c:v>
                </c:pt>
                <c:pt idx="25">
                  <c:v>9月</c:v>
                </c:pt>
                <c:pt idx="28">
                  <c:v>10月</c:v>
                </c:pt>
                <c:pt idx="31">
                  <c:v>11月</c:v>
                </c:pt>
                <c:pt idx="34">
                  <c:v>12月</c:v>
                </c:pt>
              </c:strCache>
            </c:strRef>
          </c:cat>
          <c:val>
            <c:numRef>
              <c:f>ハダニ!$E$7:$E$42</c:f>
              <c:numCache>
                <c:formatCode>0.0;;0</c:formatCode>
                <c:ptCount val="36"/>
                <c:pt idx="0">
                  <c:v>2.5</c:v>
                </c:pt>
                <c:pt idx="1">
                  <c:v>2.9</c:v>
                </c:pt>
                <c:pt idx="2">
                  <c:v>3.1</c:v>
                </c:pt>
                <c:pt idx="3">
                  <c:v>3.4</c:v>
                </c:pt>
                <c:pt idx="4">
                  <c:v>3.7</c:v>
                </c:pt>
                <c:pt idx="5">
                  <c:v>5.0999999999999996</c:v>
                </c:pt>
                <c:pt idx="6">
                  <c:v>5.8</c:v>
                </c:pt>
                <c:pt idx="7">
                  <c:v>9.3000000000000007</c:v>
                </c:pt>
                <c:pt idx="8">
                  <c:v>9.6999999999999993</c:v>
                </c:pt>
                <c:pt idx="9">
                  <c:v>11.6</c:v>
                </c:pt>
                <c:pt idx="10">
                  <c:v>8.1</c:v>
                </c:pt>
                <c:pt idx="11">
                  <c:v>4.7</c:v>
                </c:pt>
                <c:pt idx="12">
                  <c:v>4</c:v>
                </c:pt>
                <c:pt idx="13">
                  <c:v>2.5</c:v>
                </c:pt>
                <c:pt idx="14">
                  <c:v>2.1</c:v>
                </c:pt>
                <c:pt idx="15">
                  <c:v>1.5</c:v>
                </c:pt>
                <c:pt idx="16">
                  <c:v>1.5</c:v>
                </c:pt>
                <c:pt idx="17">
                  <c:v>1.4</c:v>
                </c:pt>
                <c:pt idx="18">
                  <c:v>1.9</c:v>
                </c:pt>
                <c:pt idx="19">
                  <c:v>1.5</c:v>
                </c:pt>
                <c:pt idx="20">
                  <c:v>3.8</c:v>
                </c:pt>
                <c:pt idx="21">
                  <c:v>4.0999999999999996</c:v>
                </c:pt>
                <c:pt idx="22">
                  <c:v>6.1</c:v>
                </c:pt>
                <c:pt idx="23">
                  <c:v>7.5</c:v>
                </c:pt>
                <c:pt idx="24">
                  <c:v>3.6</c:v>
                </c:pt>
                <c:pt idx="25">
                  <c:v>1.9</c:v>
                </c:pt>
                <c:pt idx="26">
                  <c:v>1.2</c:v>
                </c:pt>
                <c:pt idx="27">
                  <c:v>3.2</c:v>
                </c:pt>
                <c:pt idx="28">
                  <c:v>8.5</c:v>
                </c:pt>
                <c:pt idx="29">
                  <c:v>5.3</c:v>
                </c:pt>
                <c:pt idx="30">
                  <c:v>6.8</c:v>
                </c:pt>
                <c:pt idx="31">
                  <c:v>5.8</c:v>
                </c:pt>
                <c:pt idx="32">
                  <c:v>4.5</c:v>
                </c:pt>
                <c:pt idx="33">
                  <c:v>4.4000000000000004</c:v>
                </c:pt>
                <c:pt idx="34">
                  <c:v>4</c:v>
                </c:pt>
                <c:pt idx="35">
                  <c:v>2.2999999999999998</c:v>
                </c:pt>
              </c:numCache>
            </c:numRef>
          </c:val>
          <c:smooth val="0"/>
          <c:extLst>
            <c:ext xmlns:c16="http://schemas.microsoft.com/office/drawing/2014/chart" uri="{C3380CC4-5D6E-409C-BE32-E72D297353CC}">
              <c16:uniqueId val="{00000000-7EC0-4F88-A4C1-F28777D14C08}"/>
            </c:ext>
          </c:extLst>
        </c:ser>
        <c:ser>
          <c:idx val="4"/>
          <c:order val="1"/>
          <c:tx>
            <c:strRef>
              <c:f>ハダニ!$D$5</c:f>
              <c:strCache>
                <c:ptCount val="1"/>
                <c:pt idx="0">
                  <c:v>2026年</c:v>
                </c:pt>
              </c:strCache>
            </c:strRef>
          </c:tx>
          <c:spPr>
            <a:ln w="25400">
              <a:solidFill>
                <a:srgbClr val="0000FF"/>
              </a:solidFill>
              <a:prstDash val="solid"/>
            </a:ln>
          </c:spPr>
          <c:marker>
            <c:symbol val="circle"/>
            <c:size val="8"/>
            <c:spPr>
              <a:solidFill>
                <a:srgbClr val="0000FF"/>
              </a:solidFill>
              <a:ln>
                <a:solidFill>
                  <a:srgbClr val="0000FF"/>
                </a:solidFill>
              </a:ln>
            </c:spPr>
          </c:marker>
          <c:cat>
            <c:strRef>
              <c:f>ハダニ!$B$7:$B$42</c:f>
              <c:strCache>
                <c:ptCount val="35"/>
                <c:pt idx="1">
                  <c:v>1月</c:v>
                </c:pt>
                <c:pt idx="4">
                  <c:v>2月</c:v>
                </c:pt>
                <c:pt idx="7">
                  <c:v>3月</c:v>
                </c:pt>
                <c:pt idx="10">
                  <c:v>4月</c:v>
                </c:pt>
                <c:pt idx="13">
                  <c:v>5月</c:v>
                </c:pt>
                <c:pt idx="16">
                  <c:v>6月</c:v>
                </c:pt>
                <c:pt idx="19">
                  <c:v>7月</c:v>
                </c:pt>
                <c:pt idx="22">
                  <c:v>8月</c:v>
                </c:pt>
                <c:pt idx="25">
                  <c:v>9月</c:v>
                </c:pt>
                <c:pt idx="28">
                  <c:v>10月</c:v>
                </c:pt>
                <c:pt idx="31">
                  <c:v>11月</c:v>
                </c:pt>
                <c:pt idx="34">
                  <c:v>12月</c:v>
                </c:pt>
              </c:strCache>
            </c:strRef>
          </c:cat>
          <c:val>
            <c:numRef>
              <c:f>ハダニ!$AZ$7:$AZ$42</c:f>
              <c:numCache>
                <c:formatCode>General</c:formatCode>
                <c:ptCount val="36"/>
                <c:pt idx="0">
                  <c:v>0</c:v>
                </c:pt>
                <c:pt idx="1">
                  <c:v>0</c:v>
                </c:pt>
                <c:pt idx="2">
                  <c:v>0</c:v>
                </c:pt>
                <c:pt idx="3">
                  <c:v>0</c:v>
                </c:pt>
                <c:pt idx="4">
                  <c:v>1</c:v>
                </c:pt>
                <c:pt idx="5">
                  <c:v>1</c:v>
                </c:pt>
                <c:pt idx="6">
                  <c:v>0</c:v>
                </c:pt>
                <c:pt idx="7">
                  <c:v>0</c:v>
                </c:pt>
                <c:pt idx="8">
                  <c:v>2</c:v>
                </c:pt>
                <c:pt idx="9">
                  <c:v>2</c:v>
                </c:pt>
                <c:pt idx="10">
                  <c:v>2</c:v>
                </c:pt>
                <c:pt idx="11">
                  <c:v>0</c:v>
                </c:pt>
                <c:pt idx="12">
                  <c:v>0</c:v>
                </c:pt>
                <c:pt idx="13">
                  <c:v>0</c:v>
                </c:pt>
                <c:pt idx="14">
                  <c:v>1</c:v>
                </c:pt>
                <c:pt idx="15">
                  <c:v>0</c:v>
                </c:pt>
                <c:pt idx="16">
                  <c:v>0</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numCache>
            </c:numRef>
          </c:val>
          <c:smooth val="0"/>
          <c:extLst>
            <c:ext xmlns:c16="http://schemas.microsoft.com/office/drawing/2014/chart" uri="{C3380CC4-5D6E-409C-BE32-E72D297353CC}">
              <c16:uniqueId val="{00000001-7EC0-4F88-A4C1-F28777D14C08}"/>
            </c:ext>
          </c:extLst>
        </c:ser>
        <c:dLbls>
          <c:showLegendKey val="0"/>
          <c:showVal val="0"/>
          <c:showCatName val="0"/>
          <c:showSerName val="0"/>
          <c:showPercent val="0"/>
          <c:showBubbleSize val="0"/>
        </c:dLbls>
        <c:marker val="1"/>
        <c:smooth val="0"/>
        <c:axId val="1028255296"/>
        <c:axId val="1028258432"/>
      </c:lineChart>
      <c:catAx>
        <c:axId val="1028255296"/>
        <c:scaling>
          <c:orientation val="minMax"/>
        </c:scaling>
        <c:delete val="0"/>
        <c:axPos val="b"/>
        <c:majorGridlines>
          <c:spPr>
            <a:ln w="3175">
              <a:solidFill>
                <a:srgbClr val="000000"/>
              </a:solidFill>
              <a:prstDash val="solid"/>
            </a:ln>
          </c:spPr>
        </c:majorGridlines>
        <c:numFmt formatCode="General" sourceLinked="1"/>
        <c:majorTickMark val="in"/>
        <c:minorTickMark val="none"/>
        <c:tickLblPos val="nextTo"/>
        <c:spPr>
          <a:ln w="3175">
            <a:solidFill>
              <a:srgbClr val="000000"/>
            </a:solidFill>
            <a:prstDash val="solid"/>
          </a:ln>
        </c:spPr>
        <c:txPr>
          <a:bodyPr rot="0" vert="horz"/>
          <a:lstStyle/>
          <a:p>
            <a:pPr>
              <a:defRPr/>
            </a:pPr>
            <a:endParaRPr lang="ja-JP"/>
          </a:p>
        </c:txPr>
        <c:crossAx val="1028258432"/>
        <c:crosses val="autoZero"/>
        <c:auto val="0"/>
        <c:lblAlgn val="ctr"/>
        <c:lblOffset val="100"/>
        <c:tickLblSkip val="1"/>
        <c:tickMarkSkip val="3"/>
        <c:noMultiLvlLbl val="0"/>
      </c:catAx>
      <c:valAx>
        <c:axId val="1028258432"/>
        <c:scaling>
          <c:orientation val="minMax"/>
          <c:max val="20"/>
          <c:min val="0"/>
        </c:scaling>
        <c:delete val="0"/>
        <c:axPos val="l"/>
        <c:majorGridlines>
          <c:spPr>
            <a:ln w="3175">
              <a:solidFill>
                <a:srgbClr val="000000"/>
              </a:solidFill>
              <a:prstDash val="solid"/>
            </a:ln>
          </c:spPr>
        </c:majorGridlines>
        <c:title>
          <c:tx>
            <c:rich>
              <a:bodyPr/>
              <a:lstStyle/>
              <a:p>
                <a:pPr>
                  <a:defRPr/>
                </a:pPr>
                <a:r>
                  <a:rPr lang="ja-JP"/>
                  <a:t>成・幼・若虫寄生葉率（％）</a:t>
                </a:r>
              </a:p>
            </c:rich>
          </c:tx>
          <c:layout>
            <c:manualLayout>
              <c:xMode val="edge"/>
              <c:yMode val="edge"/>
              <c:x val="1.1911726291949488E-2"/>
              <c:y val="0.16172771887943349"/>
            </c:manualLayout>
          </c:layout>
          <c:overlay val="0"/>
          <c:spPr>
            <a:noFill/>
            <a:ln w="25400">
              <a:noFill/>
            </a:ln>
          </c:spPr>
        </c:title>
        <c:numFmt formatCode="0" sourceLinked="0"/>
        <c:majorTickMark val="in"/>
        <c:minorTickMark val="none"/>
        <c:tickLblPos val="nextTo"/>
        <c:spPr>
          <a:ln w="3175">
            <a:solidFill>
              <a:srgbClr val="000000"/>
            </a:solidFill>
            <a:prstDash val="solid"/>
          </a:ln>
        </c:spPr>
        <c:txPr>
          <a:bodyPr rot="0" vert="horz"/>
          <a:lstStyle/>
          <a:p>
            <a:pPr>
              <a:defRPr/>
            </a:pPr>
            <a:endParaRPr lang="ja-JP"/>
          </a:p>
        </c:txPr>
        <c:crossAx val="1028255296"/>
        <c:crosses val="autoZero"/>
        <c:crossBetween val="between"/>
        <c:majorUnit val="5"/>
      </c:valAx>
      <c:spPr>
        <a:noFill/>
        <a:ln w="12700">
          <a:solidFill>
            <a:sysClr val="windowText" lastClr="000000"/>
          </a:solidFill>
          <a:prstDash val="solid"/>
        </a:ln>
      </c:spPr>
    </c:plotArea>
    <c:legend>
      <c:legendPos val="r"/>
      <c:layout>
        <c:manualLayout>
          <c:xMode val="edge"/>
          <c:yMode val="edge"/>
          <c:x val="0.70419555778392739"/>
          <c:y val="0.1866718515246768"/>
          <c:w val="0.25684878380432069"/>
          <c:h val="0.15055452070060907"/>
        </c:manualLayout>
      </c:layout>
      <c:overlay val="0"/>
      <c:spPr>
        <a:solidFill>
          <a:srgbClr val="FFFFFF"/>
        </a:solidFill>
        <a:ln w="3175">
          <a:solidFill>
            <a:srgbClr val="000000"/>
          </a:solidFill>
          <a:prstDash val="solid"/>
        </a:ln>
      </c:spPr>
    </c:legend>
    <c:plotVisOnly val="1"/>
    <c:dispBlanksAs val="gap"/>
    <c:showDLblsOverMax val="0"/>
  </c:chart>
  <c:spPr>
    <a:noFill/>
    <a:ln w="3175">
      <a:noFill/>
      <a:prstDash val="solid"/>
    </a:ln>
  </c:spPr>
  <c:txPr>
    <a:bodyPr/>
    <a:lstStyle/>
    <a:p>
      <a:pPr>
        <a:defRPr sz="2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defRPr>
      </a:pPr>
      <a:endParaRPr lang="ja-JP"/>
    </a:p>
  </c:txPr>
  <c:printSettings>
    <c:headerFooter alignWithMargins="0"/>
    <c:pageMargins b="1" l="0.75" r="0.75" t="1" header="0.51200000000000001" footer="0.51200000000000001"/>
    <c:pageSetup orientation="landscape" verticalDpi="1200"/>
  </c:printSettings>
  <c:userShapes r:id="rId1"/>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ja-JP"/>
              <a:t>カンザワハダニ　発生消長（寄生虫数）</a:t>
            </a:r>
          </a:p>
        </c:rich>
      </c:tx>
      <c:layout>
        <c:manualLayout>
          <c:xMode val="edge"/>
          <c:yMode val="edge"/>
          <c:x val="0.2946853939697654"/>
          <c:y val="8.0378523089935471E-5"/>
        </c:manualLayout>
      </c:layout>
      <c:overlay val="0"/>
      <c:spPr>
        <a:noFill/>
        <a:ln w="25400">
          <a:noFill/>
        </a:ln>
      </c:spPr>
    </c:title>
    <c:autoTitleDeleted val="0"/>
    <c:plotArea>
      <c:layout>
        <c:manualLayout>
          <c:layoutTarget val="inner"/>
          <c:xMode val="edge"/>
          <c:yMode val="edge"/>
          <c:x val="0.1220227715405975"/>
          <c:y val="0.13461687104721265"/>
          <c:w val="0.85756948183404769"/>
          <c:h val="0.72508020022540687"/>
        </c:manualLayout>
      </c:layout>
      <c:lineChart>
        <c:grouping val="standard"/>
        <c:varyColors val="0"/>
        <c:ser>
          <c:idx val="1"/>
          <c:order val="0"/>
          <c:tx>
            <c:strRef>
              <c:f>ハダニ!$E$48</c:f>
              <c:strCache>
                <c:ptCount val="1"/>
                <c:pt idx="0">
                  <c:v>平年（過去10年）</c:v>
                </c:pt>
              </c:strCache>
            </c:strRef>
          </c:tx>
          <c:spPr>
            <a:ln w="25400">
              <a:solidFill>
                <a:srgbClr val="C00000"/>
              </a:solidFill>
              <a:prstDash val="solid"/>
            </a:ln>
          </c:spPr>
          <c:marker>
            <c:symbol val="triangle"/>
            <c:size val="8"/>
            <c:spPr>
              <a:solidFill>
                <a:srgbClr val="C00000"/>
              </a:solidFill>
              <a:ln>
                <a:solidFill>
                  <a:srgbClr val="C00000"/>
                </a:solidFill>
                <a:prstDash val="solid"/>
              </a:ln>
            </c:spPr>
          </c:marker>
          <c:cat>
            <c:strRef>
              <c:f>ハダニ!$B$50:$B$85</c:f>
              <c:strCache>
                <c:ptCount val="35"/>
                <c:pt idx="1">
                  <c:v>1月</c:v>
                </c:pt>
                <c:pt idx="4">
                  <c:v>2月</c:v>
                </c:pt>
                <c:pt idx="7">
                  <c:v>3月</c:v>
                </c:pt>
                <c:pt idx="10">
                  <c:v>4月</c:v>
                </c:pt>
                <c:pt idx="13">
                  <c:v>5月</c:v>
                </c:pt>
                <c:pt idx="16">
                  <c:v>6月</c:v>
                </c:pt>
                <c:pt idx="19">
                  <c:v>7月</c:v>
                </c:pt>
                <c:pt idx="22">
                  <c:v>8月</c:v>
                </c:pt>
                <c:pt idx="25">
                  <c:v>9月</c:v>
                </c:pt>
                <c:pt idx="28">
                  <c:v>10月</c:v>
                </c:pt>
                <c:pt idx="31">
                  <c:v>11月</c:v>
                </c:pt>
                <c:pt idx="34">
                  <c:v>12月</c:v>
                </c:pt>
              </c:strCache>
            </c:strRef>
          </c:cat>
          <c:val>
            <c:numRef>
              <c:f>ハダニ!$E$50:$E$85</c:f>
              <c:numCache>
                <c:formatCode>0.00;;0.0</c:formatCode>
                <c:ptCount val="36"/>
                <c:pt idx="0">
                  <c:v>0.12333333333333335</c:v>
                </c:pt>
                <c:pt idx="1">
                  <c:v>0.11888888888888889</c:v>
                </c:pt>
                <c:pt idx="2">
                  <c:v>7.1111111111111111E-2</c:v>
                </c:pt>
                <c:pt idx="3">
                  <c:v>0.10555555555555557</c:v>
                </c:pt>
                <c:pt idx="4">
                  <c:v>9.6666666666666665E-2</c:v>
                </c:pt>
                <c:pt idx="5">
                  <c:v>0.10500000000000001</c:v>
                </c:pt>
                <c:pt idx="6">
                  <c:v>0.19</c:v>
                </c:pt>
                <c:pt idx="7">
                  <c:v>0.55899999999999994</c:v>
                </c:pt>
                <c:pt idx="8">
                  <c:v>0.78400000000000003</c:v>
                </c:pt>
                <c:pt idx="9">
                  <c:v>0.77900000000000003</c:v>
                </c:pt>
                <c:pt idx="10">
                  <c:v>0.61699999999999999</c:v>
                </c:pt>
                <c:pt idx="11">
                  <c:v>0.20699999999999999</c:v>
                </c:pt>
                <c:pt idx="12">
                  <c:v>9.7000000000000003E-2</c:v>
                </c:pt>
                <c:pt idx="13">
                  <c:v>7.2999999999999995E-2</c:v>
                </c:pt>
                <c:pt idx="14">
                  <c:v>9.0499999999999997E-2</c:v>
                </c:pt>
                <c:pt idx="15">
                  <c:v>6.4000000000000015E-2</c:v>
                </c:pt>
                <c:pt idx="16">
                  <c:v>2.8000000000000004E-2</c:v>
                </c:pt>
                <c:pt idx="17">
                  <c:v>0.02</c:v>
                </c:pt>
                <c:pt idx="18">
                  <c:v>5.2000000000000005E-2</c:v>
                </c:pt>
                <c:pt idx="19">
                  <c:v>4.4000000000000004E-2</c:v>
                </c:pt>
                <c:pt idx="20">
                  <c:v>0.186</c:v>
                </c:pt>
                <c:pt idx="21">
                  <c:v>0.08</c:v>
                </c:pt>
                <c:pt idx="22">
                  <c:v>0.312</c:v>
                </c:pt>
                <c:pt idx="23">
                  <c:v>0.29399999999999998</c:v>
                </c:pt>
                <c:pt idx="24">
                  <c:v>0.152</c:v>
                </c:pt>
                <c:pt idx="25">
                  <c:v>4.9000000000000002E-2</c:v>
                </c:pt>
                <c:pt idx="26">
                  <c:v>1.7999999999999999E-2</c:v>
                </c:pt>
                <c:pt idx="27">
                  <c:v>0.13699999999999998</c:v>
                </c:pt>
                <c:pt idx="28">
                  <c:v>0.32999999999999996</c:v>
                </c:pt>
                <c:pt idx="29">
                  <c:v>0.41299999999999998</c:v>
                </c:pt>
                <c:pt idx="30">
                  <c:v>0.38699999999999996</c:v>
                </c:pt>
                <c:pt idx="31">
                  <c:v>0.30899999999999994</c:v>
                </c:pt>
                <c:pt idx="32">
                  <c:v>0.311</c:v>
                </c:pt>
                <c:pt idx="33">
                  <c:v>0.21599999999999997</c:v>
                </c:pt>
                <c:pt idx="34">
                  <c:v>0.21200000000000002</c:v>
                </c:pt>
                <c:pt idx="35">
                  <c:v>6.3000000000000014E-2</c:v>
                </c:pt>
              </c:numCache>
            </c:numRef>
          </c:val>
          <c:smooth val="0"/>
          <c:extLst>
            <c:ext xmlns:c16="http://schemas.microsoft.com/office/drawing/2014/chart" uri="{C3380CC4-5D6E-409C-BE32-E72D297353CC}">
              <c16:uniqueId val="{00000000-C6F2-4569-8674-E869E9D78616}"/>
            </c:ext>
          </c:extLst>
        </c:ser>
        <c:ser>
          <c:idx val="0"/>
          <c:order val="1"/>
          <c:tx>
            <c:strRef>
              <c:f>ハダニ!$D$48</c:f>
              <c:strCache>
                <c:ptCount val="1"/>
                <c:pt idx="0">
                  <c:v>2026年</c:v>
                </c:pt>
              </c:strCache>
            </c:strRef>
          </c:tx>
          <c:spPr>
            <a:ln w="25400">
              <a:solidFill>
                <a:srgbClr val="0000FF"/>
              </a:solidFill>
              <a:prstDash val="solid"/>
            </a:ln>
          </c:spPr>
          <c:marker>
            <c:symbol val="circle"/>
            <c:size val="8"/>
            <c:spPr>
              <a:solidFill>
                <a:srgbClr val="0000FF"/>
              </a:solidFill>
              <a:ln>
                <a:solidFill>
                  <a:srgbClr val="0000FF"/>
                </a:solidFill>
                <a:prstDash val="solid"/>
              </a:ln>
            </c:spPr>
          </c:marker>
          <c:cat>
            <c:strRef>
              <c:f>ハダニ!$B$50:$B$85</c:f>
              <c:strCache>
                <c:ptCount val="35"/>
                <c:pt idx="1">
                  <c:v>1月</c:v>
                </c:pt>
                <c:pt idx="4">
                  <c:v>2月</c:v>
                </c:pt>
                <c:pt idx="7">
                  <c:v>3月</c:v>
                </c:pt>
                <c:pt idx="10">
                  <c:v>4月</c:v>
                </c:pt>
                <c:pt idx="13">
                  <c:v>5月</c:v>
                </c:pt>
                <c:pt idx="16">
                  <c:v>6月</c:v>
                </c:pt>
                <c:pt idx="19">
                  <c:v>7月</c:v>
                </c:pt>
                <c:pt idx="22">
                  <c:v>8月</c:v>
                </c:pt>
                <c:pt idx="25">
                  <c:v>9月</c:v>
                </c:pt>
                <c:pt idx="28">
                  <c:v>10月</c:v>
                </c:pt>
                <c:pt idx="31">
                  <c:v>11月</c:v>
                </c:pt>
                <c:pt idx="34">
                  <c:v>12月</c:v>
                </c:pt>
              </c:strCache>
            </c:strRef>
          </c:cat>
          <c:val>
            <c:numRef>
              <c:f>ハダニ!$AZ$50:$AZ$85</c:f>
              <c:numCache>
                <c:formatCode>0.00</c:formatCode>
                <c:ptCount val="36"/>
                <c:pt idx="0">
                  <c:v>0</c:v>
                </c:pt>
                <c:pt idx="1">
                  <c:v>0</c:v>
                </c:pt>
                <c:pt idx="2">
                  <c:v>0</c:v>
                </c:pt>
                <c:pt idx="3">
                  <c:v>0</c:v>
                </c:pt>
                <c:pt idx="4">
                  <c:v>0.01</c:v>
                </c:pt>
                <c:pt idx="5">
                  <c:v>0.01</c:v>
                </c:pt>
                <c:pt idx="6">
                  <c:v>0</c:v>
                </c:pt>
                <c:pt idx="7">
                  <c:v>0</c:v>
                </c:pt>
                <c:pt idx="8">
                  <c:v>0.02</c:v>
                </c:pt>
                <c:pt idx="9">
                  <c:v>0.05</c:v>
                </c:pt>
                <c:pt idx="10">
                  <c:v>0.03</c:v>
                </c:pt>
                <c:pt idx="11">
                  <c:v>0</c:v>
                </c:pt>
                <c:pt idx="12">
                  <c:v>0</c:v>
                </c:pt>
                <c:pt idx="13">
                  <c:v>0</c:v>
                </c:pt>
                <c:pt idx="14">
                  <c:v>5.0000000000000001E-3</c:v>
                </c:pt>
                <c:pt idx="15">
                  <c:v>0</c:v>
                </c:pt>
                <c:pt idx="16">
                  <c:v>0</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numCache>
            </c:numRef>
          </c:val>
          <c:smooth val="0"/>
          <c:extLst>
            <c:ext xmlns:c16="http://schemas.microsoft.com/office/drawing/2014/chart" uri="{C3380CC4-5D6E-409C-BE32-E72D297353CC}">
              <c16:uniqueId val="{00000001-C6F2-4569-8674-E869E9D78616}"/>
            </c:ext>
          </c:extLst>
        </c:ser>
        <c:dLbls>
          <c:showLegendKey val="0"/>
          <c:showVal val="0"/>
          <c:showCatName val="0"/>
          <c:showSerName val="0"/>
          <c:showPercent val="0"/>
          <c:showBubbleSize val="0"/>
        </c:dLbls>
        <c:marker val="1"/>
        <c:smooth val="0"/>
        <c:axId val="878270296"/>
        <c:axId val="878263240"/>
      </c:lineChart>
      <c:catAx>
        <c:axId val="878270296"/>
        <c:scaling>
          <c:orientation val="minMax"/>
        </c:scaling>
        <c:delete val="0"/>
        <c:axPos val="b"/>
        <c:majorGridlines>
          <c:spPr>
            <a:ln w="3175">
              <a:solidFill>
                <a:srgbClr val="000000"/>
              </a:solidFill>
              <a:prstDash val="solid"/>
            </a:ln>
          </c:spPr>
        </c:majorGridlines>
        <c:numFmt formatCode="General" sourceLinked="1"/>
        <c:majorTickMark val="in"/>
        <c:minorTickMark val="none"/>
        <c:tickLblPos val="nextTo"/>
        <c:spPr>
          <a:ln w="3175">
            <a:solidFill>
              <a:srgbClr val="000000"/>
            </a:solidFill>
            <a:prstDash val="solid"/>
          </a:ln>
        </c:spPr>
        <c:txPr>
          <a:bodyPr rot="0" vert="horz"/>
          <a:lstStyle/>
          <a:p>
            <a:pPr>
              <a:defRPr/>
            </a:pPr>
            <a:endParaRPr lang="ja-JP"/>
          </a:p>
        </c:txPr>
        <c:crossAx val="878263240"/>
        <c:crosses val="autoZero"/>
        <c:auto val="0"/>
        <c:lblAlgn val="ctr"/>
        <c:lblOffset val="100"/>
        <c:tickLblSkip val="1"/>
        <c:tickMarkSkip val="3"/>
        <c:noMultiLvlLbl val="0"/>
      </c:catAx>
      <c:valAx>
        <c:axId val="878263240"/>
        <c:scaling>
          <c:orientation val="minMax"/>
          <c:max val="2"/>
          <c:min val="0"/>
        </c:scaling>
        <c:delete val="0"/>
        <c:axPos val="l"/>
        <c:majorGridlines>
          <c:spPr>
            <a:ln w="3175">
              <a:solidFill>
                <a:srgbClr val="000000"/>
              </a:solidFill>
              <a:prstDash val="solid"/>
            </a:ln>
          </c:spPr>
        </c:majorGridlines>
        <c:title>
          <c:tx>
            <c:rich>
              <a:bodyPr/>
              <a:lstStyle/>
              <a:p>
                <a:pPr>
                  <a:defRPr/>
                </a:pPr>
                <a:r>
                  <a:rPr lang="ja-JP"/>
                  <a:t>成・幼・若虫寄生虫数（頭／葉）</a:t>
                </a:r>
              </a:p>
            </c:rich>
          </c:tx>
          <c:layout>
            <c:manualLayout>
              <c:xMode val="edge"/>
              <c:yMode val="edge"/>
              <c:x val="4.3839076002011772E-3"/>
              <c:y val="0.11522775800933087"/>
            </c:manualLayout>
          </c:layout>
          <c:overlay val="0"/>
          <c:spPr>
            <a:noFill/>
            <a:ln w="25400">
              <a:noFill/>
            </a:ln>
          </c:spPr>
        </c:title>
        <c:numFmt formatCode="#,##0.0_);[Red]\(#,##0.0\)" sourceLinked="0"/>
        <c:majorTickMark val="in"/>
        <c:minorTickMark val="none"/>
        <c:tickLblPos val="nextTo"/>
        <c:spPr>
          <a:ln w="3175">
            <a:solidFill>
              <a:srgbClr val="000000"/>
            </a:solidFill>
            <a:prstDash val="solid"/>
          </a:ln>
        </c:spPr>
        <c:txPr>
          <a:bodyPr rot="0" vert="horz"/>
          <a:lstStyle/>
          <a:p>
            <a:pPr>
              <a:defRPr/>
            </a:pPr>
            <a:endParaRPr lang="ja-JP"/>
          </a:p>
        </c:txPr>
        <c:crossAx val="878270296"/>
        <c:crosses val="autoZero"/>
        <c:crossBetween val="between"/>
        <c:majorUnit val="0.5"/>
      </c:valAx>
      <c:spPr>
        <a:noFill/>
        <a:ln w="12700">
          <a:solidFill>
            <a:sysClr val="windowText" lastClr="000000"/>
          </a:solidFill>
          <a:prstDash val="solid"/>
        </a:ln>
      </c:spPr>
    </c:plotArea>
    <c:legend>
      <c:legendPos val="r"/>
      <c:layout>
        <c:manualLayout>
          <c:xMode val="edge"/>
          <c:yMode val="edge"/>
          <c:x val="0.69913549961184429"/>
          <c:y val="0.17820712318566378"/>
          <c:w val="0.24959204841662833"/>
          <c:h val="0.14827001325064332"/>
        </c:manualLayout>
      </c:layout>
      <c:overlay val="0"/>
      <c:spPr>
        <a:solidFill>
          <a:srgbClr val="FFFFFF"/>
        </a:solidFill>
        <a:ln w="3175">
          <a:solidFill>
            <a:srgbClr val="000000"/>
          </a:solidFill>
          <a:prstDash val="solid"/>
        </a:ln>
      </c:spPr>
    </c:legend>
    <c:plotVisOnly val="1"/>
    <c:dispBlanksAs val="gap"/>
    <c:showDLblsOverMax val="0"/>
  </c:chart>
  <c:spPr>
    <a:noFill/>
    <a:ln w="3175">
      <a:noFill/>
      <a:prstDash val="solid"/>
    </a:ln>
  </c:spPr>
  <c:txPr>
    <a:bodyPr/>
    <a:lstStyle/>
    <a:p>
      <a:pPr>
        <a:defRPr sz="2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defRPr>
      </a:pPr>
      <a:endParaRPr lang="ja-JP"/>
    </a:p>
  </c:txPr>
  <c:printSettings>
    <c:headerFooter alignWithMargins="0"/>
    <c:pageMargins b="1" l="0.75" r="0.75" t="1" header="0.51200000000000001" footer="0.51200000000000001"/>
    <c:pageSetup paperSize="9" orientation="landscape"/>
  </c:printSettings>
  <c:userShapes r:id="rId1"/>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rgbClr val="000000"/>
                </a:solidFill>
                <a:latin typeface="ＭＳ Ｐゴシック"/>
                <a:ea typeface="ＭＳ Ｐゴシック"/>
                <a:cs typeface="ＭＳ Ｐゴシック"/>
              </a:defRPr>
            </a:pPr>
            <a:r>
              <a:rPr lang="ja-JP" altLang="en-US"/>
              <a:t>カンザワハダニ　発生消長（寄生虫数）</a:t>
            </a:r>
          </a:p>
        </c:rich>
      </c:tx>
      <c:overlay val="0"/>
      <c:spPr>
        <a:noFill/>
        <a:ln w="25400">
          <a:noFill/>
        </a:ln>
      </c:spPr>
    </c:title>
    <c:autoTitleDeleted val="0"/>
    <c:plotArea>
      <c:layout/>
      <c:lineChart>
        <c:grouping val="standard"/>
        <c:varyColors val="0"/>
        <c:ser>
          <c:idx val="0"/>
          <c:order val="0"/>
          <c:tx>
            <c:strRef>
              <c:f>ハダニ!$D$48</c:f>
              <c:strCache>
                <c:ptCount val="1"/>
                <c:pt idx="0">
                  <c:v>2026年</c:v>
                </c:pt>
              </c:strCache>
            </c:strRef>
          </c:tx>
          <c:spPr>
            <a:ln w="12700">
              <a:solidFill>
                <a:srgbClr val="0000FF"/>
              </a:solidFill>
              <a:prstDash val="solid"/>
            </a:ln>
          </c:spPr>
          <c:marker>
            <c:symbol val="circle"/>
            <c:size val="6"/>
            <c:spPr>
              <a:solidFill>
                <a:srgbClr val="0000FF"/>
              </a:solidFill>
              <a:ln>
                <a:solidFill>
                  <a:srgbClr val="0000FF"/>
                </a:solidFill>
                <a:prstDash val="solid"/>
              </a:ln>
            </c:spPr>
          </c:marker>
          <c:cat>
            <c:strRef>
              <c:f>ハダニ!$B$50:$B$85</c:f>
              <c:strCache>
                <c:ptCount val="35"/>
                <c:pt idx="1">
                  <c:v>1月</c:v>
                </c:pt>
                <c:pt idx="4">
                  <c:v>2月</c:v>
                </c:pt>
                <c:pt idx="7">
                  <c:v>3月</c:v>
                </c:pt>
                <c:pt idx="10">
                  <c:v>4月</c:v>
                </c:pt>
                <c:pt idx="13">
                  <c:v>5月</c:v>
                </c:pt>
                <c:pt idx="16">
                  <c:v>6月</c:v>
                </c:pt>
                <c:pt idx="19">
                  <c:v>7月</c:v>
                </c:pt>
                <c:pt idx="22">
                  <c:v>8月</c:v>
                </c:pt>
                <c:pt idx="25">
                  <c:v>9月</c:v>
                </c:pt>
                <c:pt idx="28">
                  <c:v>10月</c:v>
                </c:pt>
                <c:pt idx="31">
                  <c:v>11月</c:v>
                </c:pt>
                <c:pt idx="34">
                  <c:v>12月</c:v>
                </c:pt>
              </c:strCache>
            </c:strRef>
          </c:cat>
          <c:val>
            <c:numRef>
              <c:f>ハダニ!$D$50:$D$85</c:f>
              <c:numCache>
                <c:formatCode>0.00;;0</c:formatCode>
                <c:ptCount val="36"/>
                <c:pt idx="0">
                  <c:v>0</c:v>
                </c:pt>
                <c:pt idx="1">
                  <c:v>0</c:v>
                </c:pt>
                <c:pt idx="2">
                  <c:v>0</c:v>
                </c:pt>
                <c:pt idx="3">
                  <c:v>0</c:v>
                </c:pt>
                <c:pt idx="4">
                  <c:v>0.01</c:v>
                </c:pt>
                <c:pt idx="5">
                  <c:v>0.01</c:v>
                </c:pt>
                <c:pt idx="6">
                  <c:v>0</c:v>
                </c:pt>
                <c:pt idx="7">
                  <c:v>0</c:v>
                </c:pt>
                <c:pt idx="8">
                  <c:v>0.02</c:v>
                </c:pt>
                <c:pt idx="9">
                  <c:v>0.05</c:v>
                </c:pt>
                <c:pt idx="10">
                  <c:v>0.03</c:v>
                </c:pt>
                <c:pt idx="11">
                  <c:v>0</c:v>
                </c:pt>
                <c:pt idx="12">
                  <c:v>0</c:v>
                </c:pt>
                <c:pt idx="13">
                  <c:v>0</c:v>
                </c:pt>
                <c:pt idx="14">
                  <c:v>5.0000000000000001E-3</c:v>
                </c:pt>
                <c:pt idx="15">
                  <c:v>0</c:v>
                </c:pt>
                <c:pt idx="16">
                  <c:v>0</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numCache>
            </c:numRef>
          </c:val>
          <c:smooth val="0"/>
          <c:extLst>
            <c:ext xmlns:c16="http://schemas.microsoft.com/office/drawing/2014/chart" uri="{C3380CC4-5D6E-409C-BE32-E72D297353CC}">
              <c16:uniqueId val="{00000000-2BE4-480E-8656-DCBB52AC1539}"/>
            </c:ext>
          </c:extLst>
        </c:ser>
        <c:ser>
          <c:idx val="1"/>
          <c:order val="1"/>
          <c:tx>
            <c:strRef>
              <c:f>ハダニ!$E$48</c:f>
              <c:strCache>
                <c:ptCount val="1"/>
                <c:pt idx="0">
                  <c:v>平年（過去10年）</c:v>
                </c:pt>
              </c:strCache>
            </c:strRef>
          </c:tx>
          <c:spPr>
            <a:ln w="12700">
              <a:solidFill>
                <a:srgbClr val="FF00FF"/>
              </a:solidFill>
              <a:prstDash val="solid"/>
            </a:ln>
          </c:spPr>
          <c:marker>
            <c:symbol val="triangle"/>
            <c:size val="6"/>
            <c:spPr>
              <a:solidFill>
                <a:srgbClr val="FF00FF"/>
              </a:solidFill>
              <a:ln>
                <a:solidFill>
                  <a:srgbClr val="FF00FF"/>
                </a:solidFill>
                <a:prstDash val="solid"/>
              </a:ln>
            </c:spPr>
          </c:marker>
          <c:cat>
            <c:strRef>
              <c:f>ハダニ!$B$50:$B$85</c:f>
              <c:strCache>
                <c:ptCount val="35"/>
                <c:pt idx="1">
                  <c:v>1月</c:v>
                </c:pt>
                <c:pt idx="4">
                  <c:v>2月</c:v>
                </c:pt>
                <c:pt idx="7">
                  <c:v>3月</c:v>
                </c:pt>
                <c:pt idx="10">
                  <c:v>4月</c:v>
                </c:pt>
                <c:pt idx="13">
                  <c:v>5月</c:v>
                </c:pt>
                <c:pt idx="16">
                  <c:v>6月</c:v>
                </c:pt>
                <c:pt idx="19">
                  <c:v>7月</c:v>
                </c:pt>
                <c:pt idx="22">
                  <c:v>8月</c:v>
                </c:pt>
                <c:pt idx="25">
                  <c:v>9月</c:v>
                </c:pt>
                <c:pt idx="28">
                  <c:v>10月</c:v>
                </c:pt>
                <c:pt idx="31">
                  <c:v>11月</c:v>
                </c:pt>
                <c:pt idx="34">
                  <c:v>12月</c:v>
                </c:pt>
              </c:strCache>
            </c:strRef>
          </c:cat>
          <c:val>
            <c:numRef>
              <c:f>ハダニ!$E$50:$E$85</c:f>
              <c:numCache>
                <c:formatCode>0.00;;0.0</c:formatCode>
                <c:ptCount val="36"/>
                <c:pt idx="0">
                  <c:v>0.12333333333333335</c:v>
                </c:pt>
                <c:pt idx="1">
                  <c:v>0.11888888888888889</c:v>
                </c:pt>
                <c:pt idx="2">
                  <c:v>7.1111111111111111E-2</c:v>
                </c:pt>
                <c:pt idx="3">
                  <c:v>0.10555555555555557</c:v>
                </c:pt>
                <c:pt idx="4">
                  <c:v>9.6666666666666665E-2</c:v>
                </c:pt>
                <c:pt idx="5">
                  <c:v>0.10500000000000001</c:v>
                </c:pt>
                <c:pt idx="6">
                  <c:v>0.19</c:v>
                </c:pt>
                <c:pt idx="7">
                  <c:v>0.55899999999999994</c:v>
                </c:pt>
                <c:pt idx="8">
                  <c:v>0.78400000000000003</c:v>
                </c:pt>
                <c:pt idx="9">
                  <c:v>0.77900000000000003</c:v>
                </c:pt>
                <c:pt idx="10">
                  <c:v>0.61699999999999999</c:v>
                </c:pt>
                <c:pt idx="11">
                  <c:v>0.20699999999999999</c:v>
                </c:pt>
                <c:pt idx="12">
                  <c:v>9.7000000000000003E-2</c:v>
                </c:pt>
                <c:pt idx="13">
                  <c:v>7.2999999999999995E-2</c:v>
                </c:pt>
                <c:pt idx="14">
                  <c:v>9.0499999999999997E-2</c:v>
                </c:pt>
                <c:pt idx="15">
                  <c:v>6.4000000000000015E-2</c:v>
                </c:pt>
                <c:pt idx="16">
                  <c:v>2.8000000000000004E-2</c:v>
                </c:pt>
                <c:pt idx="17">
                  <c:v>0.02</c:v>
                </c:pt>
                <c:pt idx="18">
                  <c:v>5.2000000000000005E-2</c:v>
                </c:pt>
                <c:pt idx="19">
                  <c:v>4.4000000000000004E-2</c:v>
                </c:pt>
                <c:pt idx="20">
                  <c:v>0.186</c:v>
                </c:pt>
                <c:pt idx="21">
                  <c:v>0.08</c:v>
                </c:pt>
                <c:pt idx="22">
                  <c:v>0.312</c:v>
                </c:pt>
                <c:pt idx="23">
                  <c:v>0.29399999999999998</c:v>
                </c:pt>
                <c:pt idx="24">
                  <c:v>0.152</c:v>
                </c:pt>
                <c:pt idx="25">
                  <c:v>4.9000000000000002E-2</c:v>
                </c:pt>
                <c:pt idx="26">
                  <c:v>1.7999999999999999E-2</c:v>
                </c:pt>
                <c:pt idx="27">
                  <c:v>0.13699999999999998</c:v>
                </c:pt>
                <c:pt idx="28">
                  <c:v>0.32999999999999996</c:v>
                </c:pt>
                <c:pt idx="29">
                  <c:v>0.41299999999999998</c:v>
                </c:pt>
                <c:pt idx="30">
                  <c:v>0.38699999999999996</c:v>
                </c:pt>
                <c:pt idx="31">
                  <c:v>0.30899999999999994</c:v>
                </c:pt>
                <c:pt idx="32">
                  <c:v>0.311</c:v>
                </c:pt>
                <c:pt idx="33">
                  <c:v>0.21599999999999997</c:v>
                </c:pt>
                <c:pt idx="34">
                  <c:v>0.21200000000000002</c:v>
                </c:pt>
                <c:pt idx="35">
                  <c:v>6.3000000000000014E-2</c:v>
                </c:pt>
              </c:numCache>
            </c:numRef>
          </c:val>
          <c:smooth val="0"/>
          <c:extLst>
            <c:ext xmlns:c16="http://schemas.microsoft.com/office/drawing/2014/chart" uri="{C3380CC4-5D6E-409C-BE32-E72D297353CC}">
              <c16:uniqueId val="{00000001-2BE4-480E-8656-DCBB52AC1539}"/>
            </c:ext>
          </c:extLst>
        </c:ser>
        <c:ser>
          <c:idx val="2"/>
          <c:order val="2"/>
          <c:tx>
            <c:strRef>
              <c:f>ハダニ!$F$48:$I$48</c:f>
              <c:strCache>
                <c:ptCount val="1"/>
                <c:pt idx="0">
                  <c:v>2021年 ～ 2025年 (5ヶ年平均)</c:v>
                </c:pt>
              </c:strCache>
            </c:strRef>
          </c:tx>
          <c:spPr>
            <a:ln w="12700">
              <a:solidFill>
                <a:srgbClr val="00FF00"/>
              </a:solidFill>
              <a:prstDash val="solid"/>
            </a:ln>
          </c:spPr>
          <c:marker>
            <c:symbol val="square"/>
            <c:size val="6"/>
            <c:spPr>
              <a:solidFill>
                <a:srgbClr val="00FF00"/>
              </a:solidFill>
              <a:ln>
                <a:solidFill>
                  <a:srgbClr val="00FF00"/>
                </a:solidFill>
                <a:prstDash val="solid"/>
              </a:ln>
            </c:spPr>
          </c:marker>
          <c:cat>
            <c:strRef>
              <c:f>ハダニ!$B$50:$B$85</c:f>
              <c:strCache>
                <c:ptCount val="35"/>
                <c:pt idx="1">
                  <c:v>1月</c:v>
                </c:pt>
                <c:pt idx="4">
                  <c:v>2月</c:v>
                </c:pt>
                <c:pt idx="7">
                  <c:v>3月</c:v>
                </c:pt>
                <c:pt idx="10">
                  <c:v>4月</c:v>
                </c:pt>
                <c:pt idx="13">
                  <c:v>5月</c:v>
                </c:pt>
                <c:pt idx="16">
                  <c:v>6月</c:v>
                </c:pt>
                <c:pt idx="19">
                  <c:v>7月</c:v>
                </c:pt>
                <c:pt idx="22">
                  <c:v>8月</c:v>
                </c:pt>
                <c:pt idx="25">
                  <c:v>9月</c:v>
                </c:pt>
                <c:pt idx="28">
                  <c:v>10月</c:v>
                </c:pt>
                <c:pt idx="31">
                  <c:v>11月</c:v>
                </c:pt>
                <c:pt idx="34">
                  <c:v>12月</c:v>
                </c:pt>
              </c:strCache>
            </c:strRef>
          </c:cat>
          <c:val>
            <c:numRef>
              <c:f>ハダニ!$F$50:$F$85</c:f>
              <c:numCache>
                <c:formatCode>0.00;;0</c:formatCode>
                <c:ptCount val="36"/>
              </c:numCache>
            </c:numRef>
          </c:val>
          <c:smooth val="0"/>
          <c:extLst>
            <c:ext xmlns:c16="http://schemas.microsoft.com/office/drawing/2014/chart" uri="{C3380CC4-5D6E-409C-BE32-E72D297353CC}">
              <c16:uniqueId val="{00000002-2BE4-480E-8656-DCBB52AC1539}"/>
            </c:ext>
          </c:extLst>
        </c:ser>
        <c:dLbls>
          <c:showLegendKey val="0"/>
          <c:showVal val="0"/>
          <c:showCatName val="0"/>
          <c:showSerName val="0"/>
          <c:showPercent val="0"/>
          <c:showBubbleSize val="0"/>
        </c:dLbls>
        <c:marker val="1"/>
        <c:smooth val="0"/>
        <c:axId val="878262064"/>
        <c:axId val="878262456"/>
      </c:lineChart>
      <c:catAx>
        <c:axId val="878262064"/>
        <c:scaling>
          <c:orientation val="minMax"/>
        </c:scaling>
        <c:delete val="0"/>
        <c:axPos val="b"/>
        <c:majorGridlines>
          <c:spPr>
            <a:ln w="3175">
              <a:solidFill>
                <a:srgbClr val="000000"/>
              </a:solidFill>
              <a:prstDash val="solid"/>
            </a:ln>
          </c:spPr>
        </c:majorGridlines>
        <c:numFmt formatCode="General"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78262456"/>
        <c:crosses val="autoZero"/>
        <c:auto val="0"/>
        <c:lblAlgn val="ctr"/>
        <c:lblOffset val="100"/>
        <c:tickLblSkip val="21"/>
        <c:tickMarkSkip val="3"/>
        <c:noMultiLvlLbl val="0"/>
      </c:catAx>
      <c:valAx>
        <c:axId val="878262456"/>
        <c:scaling>
          <c:orientation val="minMax"/>
          <c:max val="10"/>
          <c:min val="0"/>
        </c:scaling>
        <c:delete val="0"/>
        <c:axPos val="l"/>
        <c:majorGridlines>
          <c:spPr>
            <a:ln w="3175">
              <a:solidFill>
                <a:srgbClr val="000000"/>
              </a:solidFill>
              <a:prstDash val="solid"/>
            </a:ln>
          </c:spPr>
        </c:majorGridlines>
        <c:title>
          <c:tx>
            <c:rich>
              <a:bodyPr/>
              <a:lstStyle/>
              <a:p>
                <a:pPr>
                  <a:defRPr sz="800" b="0" i="0" u="none" strike="noStrike" baseline="0">
                    <a:solidFill>
                      <a:srgbClr val="000000"/>
                    </a:solidFill>
                    <a:latin typeface="ＭＳ Ｐゴシック"/>
                    <a:ea typeface="ＭＳ Ｐゴシック"/>
                    <a:cs typeface="ＭＳ Ｐゴシック"/>
                  </a:defRPr>
                </a:pPr>
                <a:r>
                  <a:rPr lang="ja-JP" altLang="en-US"/>
                  <a:t>寄生虫数（全ステージ虫数／葉）</a:t>
                </a:r>
              </a:p>
            </c:rich>
          </c:tx>
          <c:overlay val="0"/>
          <c:spPr>
            <a:noFill/>
            <a:ln w="25400">
              <a:noFill/>
            </a:ln>
          </c:spPr>
        </c:title>
        <c:numFmt formatCode="0"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78262064"/>
        <c:crosses val="autoZero"/>
        <c:crossBetween val="between"/>
        <c:majorUnit val="1"/>
        <c:minorUnit val="1"/>
      </c:valAx>
      <c:spPr>
        <a:solidFill>
          <a:srgbClr val="C0C0C0"/>
        </a:solid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73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userShapes r:id="rId1"/>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Relationships xmlns="http://schemas.openxmlformats.org/package/2006/relationships"><Relationship Id="rId1" Target="../charts/chart1.xml" Type="http://schemas.openxmlformats.org/officeDocument/2006/relationships/chart"/><Relationship Id="rId2" Target="../charts/chart2.xml" Type="http://schemas.openxmlformats.org/officeDocument/2006/relationships/chart"/><Relationship Id="rId3" Target="../charts/chart3.xml" Type="http://schemas.openxmlformats.org/officeDocument/2006/relationships/chart"/><Relationship Id="rId4" Target="../charts/chart4.xml" Type="http://schemas.openxmlformats.org/officeDocument/2006/relationships/chart"/><Relationship Id="rId5" Target="../charts/chart5.xml" Type="http://schemas.openxmlformats.org/officeDocument/2006/relationships/chart"/><Relationship Id="rId6" Target="../charts/chart6.xml" Type="http://schemas.openxmlformats.org/officeDocument/2006/relationships/chart"/><Relationship Id="rId7" Target="../charts/chart7.xml" Type="http://schemas.openxmlformats.org/officeDocument/2006/relationships/chart"/><Relationship Id="rId8" Target="../charts/chart8.xml" Type="http://schemas.openxmlformats.org/officeDocument/2006/relationships/chart"/></Relationships>
</file>

<file path=xl/drawings/_rels/drawing10.xml.rels><?xml version="1.0" encoding="UTF-8" standalone="yes"?><Relationships xmlns="http://schemas.openxmlformats.org/package/2006/relationships"><Relationship Id="rId1" Target="../charts/chart9.xml" Type="http://schemas.openxmlformats.org/officeDocument/2006/relationships/chart"/></Relationships>
</file>

<file path=xl/drawings/_rels/drawing12.xml.rels><?xml version="1.0" encoding="UTF-8" standalone="yes"?><Relationships xmlns="http://schemas.openxmlformats.org/package/2006/relationships"><Relationship Id="rId1" Target="../charts/chart10.xml" Type="http://schemas.openxmlformats.org/officeDocument/2006/relationships/chart"/><Relationship Id="rId2" Target="../charts/chart11.xml" Type="http://schemas.openxmlformats.org/officeDocument/2006/relationships/chart"/><Relationship Id="rId3" Target="../charts/chart12.xml" Type="http://schemas.openxmlformats.org/officeDocument/2006/relationships/chart"/><Relationship Id="rId4" Target="../charts/chart13.xml" Type="http://schemas.openxmlformats.org/officeDocument/2006/relationships/chart"/></Relationships>
</file>

<file path=xl/drawings/_rels/drawing17.xml.rels><?xml version="1.0" encoding="UTF-8" standalone="yes"?><Relationships xmlns="http://schemas.openxmlformats.org/package/2006/relationships"><Relationship Id="rId1" Target="../charts/chart14.xml" Type="http://schemas.openxmlformats.org/officeDocument/2006/relationships/chart"/><Relationship Id="rId2" Target="../charts/chart15.xml" Type="http://schemas.openxmlformats.org/officeDocument/2006/relationships/chart"/><Relationship Id="rId3" Target="../charts/chart16.xml" Type="http://schemas.openxmlformats.org/officeDocument/2006/relationships/chart"/><Relationship Id="rId4" Target="../charts/chart17.xml" Type="http://schemas.openxmlformats.org/officeDocument/2006/relationships/chart"/><Relationship Id="rId5" Target="../charts/chart18.xml" Type="http://schemas.openxmlformats.org/officeDocument/2006/relationships/chart"/><Relationship Id="rId6" Target="../charts/chart19.xml" Type="http://schemas.openxmlformats.org/officeDocument/2006/relationships/chart"/></Relationships>
</file>

<file path=xl/drawings/_rels/drawing22.xml.rels><?xml version="1.0" encoding="UTF-8" standalone="yes"?><Relationships xmlns="http://schemas.openxmlformats.org/package/2006/relationships"><Relationship Id="rId1" Target="../charts/chart20.xml" Type="http://schemas.openxmlformats.org/officeDocument/2006/relationships/chart"/></Relationships>
</file>

<file path=xl/drawings/_rels/drawing24.xml.rels><?xml version="1.0" encoding="UTF-8" standalone="yes"?><Relationships xmlns="http://schemas.openxmlformats.org/package/2006/relationships"><Relationship Id="rId1" Target="../charts/chart21.xml" Type="http://schemas.openxmlformats.org/officeDocument/2006/relationships/chart"/></Relationships>
</file>

<file path=xl/drawings/_rels/drawing26.xml.rels><?xml version="1.0" encoding="UTF-8" standalone="yes"?><Relationships xmlns="http://schemas.openxmlformats.org/package/2006/relationships"><Relationship Id="rId1" Target="../charts/chart22.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16</xdr:col>
      <xdr:colOff>515504</xdr:colOff>
      <xdr:row>1</xdr:row>
      <xdr:rowOff>18187</xdr:rowOff>
    </xdr:from>
    <xdr:to>
      <xdr:col>32</xdr:col>
      <xdr:colOff>238124</xdr:colOff>
      <xdr:row>30</xdr:row>
      <xdr:rowOff>1</xdr:rowOff>
    </xdr:to>
    <xdr:graphicFrame macro="">
      <xdr:nvGraphicFramePr>
        <xdr:cNvPr id="2" name="グラフ 1">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184295</xdr:colOff>
      <xdr:row>31</xdr:row>
      <xdr:rowOff>36799</xdr:rowOff>
    </xdr:from>
    <xdr:to>
      <xdr:col>16</xdr:col>
      <xdr:colOff>428625</xdr:colOff>
      <xdr:row>61</xdr:row>
      <xdr:rowOff>71437</xdr:rowOff>
    </xdr:to>
    <xdr:graphicFrame macro="">
      <xdr:nvGraphicFramePr>
        <xdr:cNvPr id="3" name="グラフ 1">
          <a:extLst>
            <a:ext uri="{FF2B5EF4-FFF2-40B4-BE49-F238E27FC236}">
              <a16:creationId xmlns:a16="http://schemas.microsoft.com/office/drawing/2014/main" id="{00000000-0008-0000-0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17</xdr:col>
      <xdr:colOff>57150</xdr:colOff>
      <xdr:row>31</xdr:row>
      <xdr:rowOff>11108</xdr:rowOff>
    </xdr:from>
    <xdr:to>
      <xdr:col>32</xdr:col>
      <xdr:colOff>386100</xdr:colOff>
      <xdr:row>60</xdr:row>
      <xdr:rowOff>151058</xdr:rowOff>
    </xdr:to>
    <xdr:graphicFrame macro="">
      <xdr:nvGraphicFramePr>
        <xdr:cNvPr id="4" name="グラフ 1">
          <a:extLst>
            <a:ext uri="{FF2B5EF4-FFF2-40B4-BE49-F238E27FC236}">
              <a16:creationId xmlns:a16="http://schemas.microsoft.com/office/drawing/2014/main" i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90488</xdr:colOff>
      <xdr:row>98</xdr:row>
      <xdr:rowOff>39696</xdr:rowOff>
    </xdr:from>
    <xdr:to>
      <xdr:col>16</xdr:col>
      <xdr:colOff>447675</xdr:colOff>
      <xdr:row>128</xdr:row>
      <xdr:rowOff>147647</xdr:rowOff>
    </xdr:to>
    <xdr:graphicFrame macro="">
      <xdr:nvGraphicFramePr>
        <xdr:cNvPr id="5" name="グラフ 1">
          <a:extLst>
            <a:ext uri="{FF2B5EF4-FFF2-40B4-BE49-F238E27FC236}">
              <a16:creationId xmlns:a16="http://schemas.microsoft.com/office/drawing/2014/main" id="{00000000-0008-0000-01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23813</xdr:colOff>
      <xdr:row>131</xdr:row>
      <xdr:rowOff>106361</xdr:rowOff>
    </xdr:from>
    <xdr:to>
      <xdr:col>16</xdr:col>
      <xdr:colOff>547688</xdr:colOff>
      <xdr:row>164</xdr:row>
      <xdr:rowOff>71437</xdr:rowOff>
    </xdr:to>
    <xdr:graphicFrame macro="">
      <xdr:nvGraphicFramePr>
        <xdr:cNvPr id="6" name="グラフ 1">
          <a:extLst>
            <a:ext uri="{FF2B5EF4-FFF2-40B4-BE49-F238E27FC236}">
              <a16:creationId xmlns:a16="http://schemas.microsoft.com/office/drawing/2014/main" id="{00000000-0008-0000-01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16</xdr:col>
      <xdr:colOff>666750</xdr:colOff>
      <xdr:row>97</xdr:row>
      <xdr:rowOff>111131</xdr:rowOff>
    </xdr:from>
    <xdr:to>
      <xdr:col>32</xdr:col>
      <xdr:colOff>476250</xdr:colOff>
      <xdr:row>130</xdr:row>
      <xdr:rowOff>4</xdr:rowOff>
    </xdr:to>
    <xdr:graphicFrame macro="">
      <xdr:nvGraphicFramePr>
        <xdr:cNvPr id="7" name="グラフ 1">
          <a:extLst>
            <a:ext uri="{FF2B5EF4-FFF2-40B4-BE49-F238E27FC236}">
              <a16:creationId xmlns:a16="http://schemas.microsoft.com/office/drawing/2014/main" id="{00000000-0008-0000-01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23813</xdr:colOff>
      <xdr:row>63</xdr:row>
      <xdr:rowOff>31747</xdr:rowOff>
    </xdr:from>
    <xdr:to>
      <xdr:col>16</xdr:col>
      <xdr:colOff>428625</xdr:colOff>
      <xdr:row>93</xdr:row>
      <xdr:rowOff>142875</xdr:rowOff>
    </xdr:to>
    <xdr:graphicFrame macro="">
      <xdr:nvGraphicFramePr>
        <xdr:cNvPr id="10" name="グラフ 1">
          <a:extLst>
            <a:ext uri="{FF2B5EF4-FFF2-40B4-BE49-F238E27FC236}">
              <a16:creationId xmlns:a16="http://schemas.microsoft.com/office/drawing/2014/main" id="{00000000-0008-0000-01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16</xdr:col>
      <xdr:colOff>595312</xdr:colOff>
      <xdr:row>63</xdr:row>
      <xdr:rowOff>74610</xdr:rowOff>
    </xdr:from>
    <xdr:to>
      <xdr:col>32</xdr:col>
      <xdr:colOff>309562</xdr:colOff>
      <xdr:row>94</xdr:row>
      <xdr:rowOff>95250</xdr:rowOff>
    </xdr:to>
    <xdr:graphicFrame macro="">
      <xdr:nvGraphicFramePr>
        <xdr:cNvPr id="11" name="グラフ 4">
          <a:extLst>
            <a:ext uri="{FF2B5EF4-FFF2-40B4-BE49-F238E27FC236}">
              <a16:creationId xmlns:a16="http://schemas.microsoft.com/office/drawing/2014/main" id="{00000000-0008-0000-01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9</xdr:col>
      <xdr:colOff>0</xdr:colOff>
      <xdr:row>46</xdr:row>
      <xdr:rowOff>0</xdr:rowOff>
    </xdr:from>
    <xdr:to>
      <xdr:col>9</xdr:col>
      <xdr:colOff>0</xdr:colOff>
      <xdr:row>71</xdr:row>
      <xdr:rowOff>57150</xdr:rowOff>
    </xdr:to>
    <xdr:graphicFrame macro="">
      <xdr:nvGraphicFramePr>
        <xdr:cNvPr id="37498" name="グラフ 2">
          <a:extLst>
            <a:ext uri="{FF2B5EF4-FFF2-40B4-BE49-F238E27FC236}">
              <a16:creationId xmlns:a16="http://schemas.microsoft.com/office/drawing/2014/main" id="{00000000-0008-0000-0300-00007A92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c:userShapes xmlns:c="http://schemas.openxmlformats.org/drawingml/2006/chart">
  <cdr:relSizeAnchor xmlns:cdr="http://schemas.openxmlformats.org/drawingml/2006/chartDrawing">
    <cdr:from>
      <cdr:x>0</cdr:x>
      <cdr:y>0.56947</cdr:y>
    </cdr:from>
    <cdr:to>
      <cdr:x>1</cdr:x>
      <cdr:y>0.605</cdr:y>
    </cdr:to>
    <cdr:sp macro="" textlink="">
      <cdr:nvSpPr>
        <cdr:cNvPr id="54273" name="Text Box 1"/>
        <cdr:cNvSpPr txBox="1">
          <a:spLocks xmlns:a="http://schemas.openxmlformats.org/drawingml/2006/main" noChangeArrowheads="1"/>
        </cdr:cNvSpPr>
      </cdr:nvSpPr>
      <cdr:spPr bwMode="auto">
        <a:xfrm xmlns:a="http://schemas.openxmlformats.org/drawingml/2006/main">
          <a:off x="-9265" y="2508530"/>
          <a:ext cx="18531" cy="156518"/>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a:extLst xmlns:a="http://schemas.openxmlformats.org/drawingml/2006/main">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cdr:spPr>
      <cdr:txBody>
        <a:bodyPr xmlns:a="http://schemas.openxmlformats.org/drawingml/2006/main" wrap="none" lIns="18288" tIns="0" rIns="0" bIns="0" anchor="ctr" upright="1">
          <a:spAutoFit/>
        </a:bodyPr>
        <a:lstStyle xmlns:a="http://schemas.openxmlformats.org/drawingml/2006/main"/>
        <a:p xmlns:a="http://schemas.openxmlformats.org/drawingml/2006/main">
          <a:pPr algn="ctr" rtl="0">
            <a:defRPr sz="1000"/>
          </a:pPr>
          <a:endParaRPr lang="ja-JP" altLang="en-US"/>
        </a:p>
      </cdr:txBody>
    </cdr:sp>
  </cdr:relSizeAnchor>
</c:userShapes>
</file>

<file path=xl/drawings/drawing12.xml><?xml version="1.0" encoding="utf-8"?>
<xdr:wsDr xmlns:xdr="http://schemas.openxmlformats.org/drawingml/2006/spreadsheetDrawing" xmlns:a="http://schemas.openxmlformats.org/drawingml/2006/main">
  <xdr:twoCellAnchor>
    <xdr:from>
      <xdr:col>4</xdr:col>
      <xdr:colOff>990600</xdr:colOff>
      <xdr:row>130</xdr:row>
      <xdr:rowOff>101600</xdr:rowOff>
    </xdr:from>
    <xdr:to>
      <xdr:col>18</xdr:col>
      <xdr:colOff>114300</xdr:colOff>
      <xdr:row>164</xdr:row>
      <xdr:rowOff>146050</xdr:rowOff>
    </xdr:to>
    <xdr:graphicFrame macro="">
      <xdr:nvGraphicFramePr>
        <xdr:cNvPr id="9" name="グラフ 1">
          <a:extLst>
            <a:ext uri="{FF2B5EF4-FFF2-40B4-BE49-F238E27FC236}">
              <a16:creationId xmlns:a16="http://schemas.microsoft.com/office/drawing/2014/main" id="{00000000-0008-0000-07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977900</xdr:colOff>
      <xdr:row>165</xdr:row>
      <xdr:rowOff>76200</xdr:rowOff>
    </xdr:from>
    <xdr:to>
      <xdr:col>18</xdr:col>
      <xdr:colOff>101600</xdr:colOff>
      <xdr:row>199</xdr:row>
      <xdr:rowOff>120650</xdr:rowOff>
    </xdr:to>
    <xdr:graphicFrame macro="">
      <xdr:nvGraphicFramePr>
        <xdr:cNvPr id="10" name="グラフ 1">
          <a:extLst>
            <a:ext uri="{FF2B5EF4-FFF2-40B4-BE49-F238E27FC236}">
              <a16:creationId xmlns:a16="http://schemas.microsoft.com/office/drawing/2014/main" id="{00000000-0008-0000-07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19</xdr:col>
      <xdr:colOff>0</xdr:colOff>
      <xdr:row>131</xdr:row>
      <xdr:rowOff>0</xdr:rowOff>
    </xdr:from>
    <xdr:to>
      <xdr:col>31</xdr:col>
      <xdr:colOff>50800</xdr:colOff>
      <xdr:row>165</xdr:row>
      <xdr:rowOff>44450</xdr:rowOff>
    </xdr:to>
    <xdr:graphicFrame macro="">
      <xdr:nvGraphicFramePr>
        <xdr:cNvPr id="11" name="グラフ 1">
          <a:extLst>
            <a:ext uri="{FF2B5EF4-FFF2-40B4-BE49-F238E27FC236}">
              <a16:creationId xmlns:a16="http://schemas.microsoft.com/office/drawing/2014/main" id="{00000000-0008-0000-07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19</xdr:col>
      <xdr:colOff>0</xdr:colOff>
      <xdr:row>166</xdr:row>
      <xdr:rowOff>0</xdr:rowOff>
    </xdr:from>
    <xdr:to>
      <xdr:col>31</xdr:col>
      <xdr:colOff>50800</xdr:colOff>
      <xdr:row>200</xdr:row>
      <xdr:rowOff>44450</xdr:rowOff>
    </xdr:to>
    <xdr:graphicFrame macro="">
      <xdr:nvGraphicFramePr>
        <xdr:cNvPr id="13" name="グラフ 1">
          <a:extLst>
            <a:ext uri="{FF2B5EF4-FFF2-40B4-BE49-F238E27FC236}">
              <a16:creationId xmlns:a16="http://schemas.microsoft.com/office/drawing/2014/main" id="{00000000-0008-0000-07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3.xml><?xml version="1.0" encoding="utf-8"?>
<c:userShapes xmlns:c="http://schemas.openxmlformats.org/drawingml/2006/chart">
  <cdr:relSizeAnchor xmlns:cdr="http://schemas.openxmlformats.org/drawingml/2006/chartDrawing">
    <cdr:from>
      <cdr:x>0.49775</cdr:x>
      <cdr:y>0.70409</cdr:y>
    </cdr:from>
    <cdr:to>
      <cdr:x>0.50077</cdr:x>
      <cdr:y>0.72977</cdr:y>
    </cdr:to>
    <cdr:sp macro="" textlink="">
      <cdr:nvSpPr>
        <cdr:cNvPr id="107521" name="Text Box 1"/>
        <cdr:cNvSpPr txBox="1">
          <a:spLocks xmlns:a="http://schemas.openxmlformats.org/drawingml/2006/main" noChangeArrowheads="1"/>
        </cdr:cNvSpPr>
      </cdr:nvSpPr>
      <cdr:spPr bwMode="auto">
        <a:xfrm xmlns:a="http://schemas.openxmlformats.org/drawingml/2006/main">
          <a:off x="3058000" y="4289870"/>
          <a:ext cx="18531" cy="156518"/>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a:extLst xmlns:a="http://schemas.openxmlformats.org/drawingml/2006/main">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cdr:spPr>
      <cdr:txBody>
        <a:bodyPr xmlns:a="http://schemas.openxmlformats.org/drawingml/2006/main" wrap="none" lIns="18288" tIns="0" rIns="0" bIns="0" anchor="ctr" upright="1">
          <a:spAutoFit/>
        </a:bodyPr>
        <a:lstStyle xmlns:a="http://schemas.openxmlformats.org/drawingml/2006/main"/>
        <a:p xmlns:a="http://schemas.openxmlformats.org/drawingml/2006/main">
          <a:pPr algn="ctr" rtl="0">
            <a:defRPr sz="1000"/>
          </a:pPr>
          <a:endParaRPr lang="ja-JP" altLang="en-US"/>
        </a:p>
      </cdr:txBody>
    </cdr:sp>
  </cdr:relSizeAnchor>
</c:userShapes>
</file>

<file path=xl/drawings/drawing14.xml><?xml version="1.0" encoding="utf-8"?>
<c:userShapes xmlns:c="http://schemas.openxmlformats.org/drawingml/2006/chart">
  <cdr:relSizeAnchor xmlns:cdr="http://schemas.openxmlformats.org/drawingml/2006/chartDrawing">
    <cdr:from>
      <cdr:x>0.49775</cdr:x>
      <cdr:y>0.70409</cdr:y>
    </cdr:from>
    <cdr:to>
      <cdr:x>0.50077</cdr:x>
      <cdr:y>0.72977</cdr:y>
    </cdr:to>
    <cdr:sp macro="" textlink="">
      <cdr:nvSpPr>
        <cdr:cNvPr id="107521" name="Text Box 1"/>
        <cdr:cNvSpPr txBox="1">
          <a:spLocks xmlns:a="http://schemas.openxmlformats.org/drawingml/2006/main" noChangeArrowheads="1"/>
        </cdr:cNvSpPr>
      </cdr:nvSpPr>
      <cdr:spPr bwMode="auto">
        <a:xfrm xmlns:a="http://schemas.openxmlformats.org/drawingml/2006/main">
          <a:off x="3058000" y="4289870"/>
          <a:ext cx="18531" cy="156518"/>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a:extLst xmlns:a="http://schemas.openxmlformats.org/drawingml/2006/main">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cdr:spPr>
      <cdr:txBody>
        <a:bodyPr xmlns:a="http://schemas.openxmlformats.org/drawingml/2006/main" wrap="none" lIns="18288" tIns="0" rIns="0" bIns="0" anchor="ctr" upright="1">
          <a:spAutoFit/>
        </a:bodyPr>
        <a:lstStyle xmlns:a="http://schemas.openxmlformats.org/drawingml/2006/main"/>
        <a:p xmlns:a="http://schemas.openxmlformats.org/drawingml/2006/main">
          <a:pPr algn="ctr" rtl="0">
            <a:defRPr sz="1000"/>
          </a:pPr>
          <a:endParaRPr lang="ja-JP" altLang="en-US"/>
        </a:p>
      </cdr:txBody>
    </cdr:sp>
  </cdr:relSizeAnchor>
</c:userShapes>
</file>

<file path=xl/drawings/drawing15.xml><?xml version="1.0" encoding="utf-8"?>
<c:userShapes xmlns:c="http://schemas.openxmlformats.org/drawingml/2006/chart">
  <cdr:relSizeAnchor xmlns:cdr="http://schemas.openxmlformats.org/drawingml/2006/chartDrawing">
    <cdr:from>
      <cdr:x>0.49775</cdr:x>
      <cdr:y>0.70409</cdr:y>
    </cdr:from>
    <cdr:to>
      <cdr:x>0.50077</cdr:x>
      <cdr:y>0.72977</cdr:y>
    </cdr:to>
    <cdr:sp macro="" textlink="">
      <cdr:nvSpPr>
        <cdr:cNvPr id="107521" name="Text Box 1"/>
        <cdr:cNvSpPr txBox="1">
          <a:spLocks xmlns:a="http://schemas.openxmlformats.org/drawingml/2006/main" noChangeArrowheads="1"/>
        </cdr:cNvSpPr>
      </cdr:nvSpPr>
      <cdr:spPr bwMode="auto">
        <a:xfrm xmlns:a="http://schemas.openxmlformats.org/drawingml/2006/main">
          <a:off x="3058000" y="4289870"/>
          <a:ext cx="18531" cy="156518"/>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a:extLst xmlns:a="http://schemas.openxmlformats.org/drawingml/2006/main">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cdr:spPr>
      <cdr:txBody>
        <a:bodyPr xmlns:a="http://schemas.openxmlformats.org/drawingml/2006/main" wrap="none" lIns="18288" tIns="0" rIns="0" bIns="0" anchor="ctr" upright="1">
          <a:spAutoFit/>
        </a:bodyPr>
        <a:lstStyle xmlns:a="http://schemas.openxmlformats.org/drawingml/2006/main"/>
        <a:p xmlns:a="http://schemas.openxmlformats.org/drawingml/2006/main">
          <a:pPr algn="ctr" rtl="0">
            <a:defRPr sz="1000"/>
          </a:pPr>
          <a:endParaRPr lang="ja-JP" altLang="en-US"/>
        </a:p>
      </cdr:txBody>
    </cdr:sp>
  </cdr:relSizeAnchor>
</c:userShapes>
</file>

<file path=xl/drawings/drawing16.xml><?xml version="1.0" encoding="utf-8"?>
<c:userShapes xmlns:c="http://schemas.openxmlformats.org/drawingml/2006/chart">
  <cdr:relSizeAnchor xmlns:cdr="http://schemas.openxmlformats.org/drawingml/2006/chartDrawing">
    <cdr:from>
      <cdr:x>0.49775</cdr:x>
      <cdr:y>0.70409</cdr:y>
    </cdr:from>
    <cdr:to>
      <cdr:x>0.50077</cdr:x>
      <cdr:y>0.72977</cdr:y>
    </cdr:to>
    <cdr:sp macro="" textlink="">
      <cdr:nvSpPr>
        <cdr:cNvPr id="107521" name="Text Box 1"/>
        <cdr:cNvSpPr txBox="1">
          <a:spLocks xmlns:a="http://schemas.openxmlformats.org/drawingml/2006/main" noChangeArrowheads="1"/>
        </cdr:cNvSpPr>
      </cdr:nvSpPr>
      <cdr:spPr bwMode="auto">
        <a:xfrm xmlns:a="http://schemas.openxmlformats.org/drawingml/2006/main">
          <a:off x="3058000" y="4289870"/>
          <a:ext cx="18531" cy="156518"/>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a:extLst xmlns:a="http://schemas.openxmlformats.org/drawingml/2006/main">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cdr:spPr>
      <cdr:txBody>
        <a:bodyPr xmlns:a="http://schemas.openxmlformats.org/drawingml/2006/main" wrap="none" lIns="18288" tIns="0" rIns="0" bIns="0" anchor="ctr" upright="1">
          <a:spAutoFit/>
        </a:bodyPr>
        <a:lstStyle xmlns:a="http://schemas.openxmlformats.org/drawingml/2006/main"/>
        <a:p xmlns:a="http://schemas.openxmlformats.org/drawingml/2006/main">
          <a:pPr algn="ctr" rtl="0">
            <a:defRPr sz="1000"/>
          </a:pPr>
          <a:endParaRPr lang="ja-JP" altLang="en-US"/>
        </a:p>
      </cdr:txBody>
    </cdr:sp>
  </cdr:relSizeAnchor>
</c:userShapes>
</file>

<file path=xl/drawings/drawing17.xml><?xml version="1.0" encoding="utf-8"?>
<xdr:wsDr xmlns:xdr="http://schemas.openxmlformats.org/drawingml/2006/spreadsheetDrawing" xmlns:a="http://schemas.openxmlformats.org/drawingml/2006/main">
  <xdr:twoCellAnchor>
    <xdr:from>
      <xdr:col>4</xdr:col>
      <xdr:colOff>990600</xdr:colOff>
      <xdr:row>131</xdr:row>
      <xdr:rowOff>101600</xdr:rowOff>
    </xdr:from>
    <xdr:to>
      <xdr:col>18</xdr:col>
      <xdr:colOff>114300</xdr:colOff>
      <xdr:row>165</xdr:row>
      <xdr:rowOff>146050</xdr:rowOff>
    </xdr:to>
    <xdr:graphicFrame macro="">
      <xdr:nvGraphicFramePr>
        <xdr:cNvPr id="2" name="グラフ 1">
          <a:extLst>
            <a:ext uri="{FF2B5EF4-FFF2-40B4-BE49-F238E27FC236}">
              <a16:creationId xmlns:a16="http://schemas.microsoft.com/office/drawing/2014/main" id="{00000000-0008-0000-0F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977900</xdr:colOff>
      <xdr:row>166</xdr:row>
      <xdr:rowOff>76200</xdr:rowOff>
    </xdr:from>
    <xdr:to>
      <xdr:col>18</xdr:col>
      <xdr:colOff>101600</xdr:colOff>
      <xdr:row>200</xdr:row>
      <xdr:rowOff>120650</xdr:rowOff>
    </xdr:to>
    <xdr:graphicFrame macro="">
      <xdr:nvGraphicFramePr>
        <xdr:cNvPr id="3" name="グラフ 1">
          <a:extLst>
            <a:ext uri="{FF2B5EF4-FFF2-40B4-BE49-F238E27FC236}">
              <a16:creationId xmlns:a16="http://schemas.microsoft.com/office/drawing/2014/main" id="{00000000-0008-0000-0F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19</xdr:col>
      <xdr:colOff>0</xdr:colOff>
      <xdr:row>132</xdr:row>
      <xdr:rowOff>0</xdr:rowOff>
    </xdr:from>
    <xdr:to>
      <xdr:col>31</xdr:col>
      <xdr:colOff>50800</xdr:colOff>
      <xdr:row>166</xdr:row>
      <xdr:rowOff>44450</xdr:rowOff>
    </xdr:to>
    <xdr:graphicFrame macro="">
      <xdr:nvGraphicFramePr>
        <xdr:cNvPr id="4" name="グラフ 1">
          <a:extLst>
            <a:ext uri="{FF2B5EF4-FFF2-40B4-BE49-F238E27FC236}">
              <a16:creationId xmlns:a16="http://schemas.microsoft.com/office/drawing/2014/main" id="{00000000-0008-0000-0F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19</xdr:col>
      <xdr:colOff>0</xdr:colOff>
      <xdr:row>167</xdr:row>
      <xdr:rowOff>0</xdr:rowOff>
    </xdr:from>
    <xdr:to>
      <xdr:col>31</xdr:col>
      <xdr:colOff>50800</xdr:colOff>
      <xdr:row>201</xdr:row>
      <xdr:rowOff>44450</xdr:rowOff>
    </xdr:to>
    <xdr:graphicFrame macro="">
      <xdr:nvGraphicFramePr>
        <xdr:cNvPr id="5" name="グラフ 1">
          <a:extLst>
            <a:ext uri="{FF2B5EF4-FFF2-40B4-BE49-F238E27FC236}">
              <a16:creationId xmlns:a16="http://schemas.microsoft.com/office/drawing/2014/main" id="{00000000-0008-0000-0F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12</xdr:col>
      <xdr:colOff>101204</xdr:colOff>
      <xdr:row>68</xdr:row>
      <xdr:rowOff>15476</xdr:rowOff>
    </xdr:from>
    <xdr:to>
      <xdr:col>21</xdr:col>
      <xdr:colOff>172641</xdr:colOff>
      <xdr:row>82</xdr:row>
      <xdr:rowOff>91676</xdr:rowOff>
    </xdr:to>
    <xdr:graphicFrame macro="">
      <xdr:nvGraphicFramePr>
        <xdr:cNvPr id="6" name="グラフ 5">
          <a:extLst>
            <a:ext uri="{FF2B5EF4-FFF2-40B4-BE49-F238E27FC236}">
              <a16:creationId xmlns:a16="http://schemas.microsoft.com/office/drawing/2014/main" id="{00000000-0008-0000-0F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22</xdr:col>
      <xdr:colOff>291703</xdr:colOff>
      <xdr:row>68</xdr:row>
      <xdr:rowOff>21431</xdr:rowOff>
    </xdr:from>
    <xdr:to>
      <xdr:col>31</xdr:col>
      <xdr:colOff>363141</xdr:colOff>
      <xdr:row>82</xdr:row>
      <xdr:rowOff>97631</xdr:rowOff>
    </xdr:to>
    <xdr:graphicFrame macro="">
      <xdr:nvGraphicFramePr>
        <xdr:cNvPr id="7" name="グラフ 6">
          <a:extLst>
            <a:ext uri="{FF2B5EF4-FFF2-40B4-BE49-F238E27FC236}">
              <a16:creationId xmlns:a16="http://schemas.microsoft.com/office/drawing/2014/main" id="{00000000-0008-0000-0F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18.xml><?xml version="1.0" encoding="utf-8"?>
<c:userShapes xmlns:c="http://schemas.openxmlformats.org/drawingml/2006/chart">
  <cdr:relSizeAnchor xmlns:cdr="http://schemas.openxmlformats.org/drawingml/2006/chartDrawing">
    <cdr:from>
      <cdr:x>0.49775</cdr:x>
      <cdr:y>0.70409</cdr:y>
    </cdr:from>
    <cdr:to>
      <cdr:x>0.50077</cdr:x>
      <cdr:y>0.72977</cdr:y>
    </cdr:to>
    <cdr:sp macro="" textlink="">
      <cdr:nvSpPr>
        <cdr:cNvPr id="107521" name="Text Box 1"/>
        <cdr:cNvSpPr txBox="1">
          <a:spLocks xmlns:a="http://schemas.openxmlformats.org/drawingml/2006/main" noChangeArrowheads="1"/>
        </cdr:cNvSpPr>
      </cdr:nvSpPr>
      <cdr:spPr bwMode="auto">
        <a:xfrm xmlns:a="http://schemas.openxmlformats.org/drawingml/2006/main">
          <a:off x="3058000" y="4289870"/>
          <a:ext cx="18531" cy="156518"/>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a:extLst xmlns:a="http://schemas.openxmlformats.org/drawingml/2006/main">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cdr:spPr>
      <cdr:txBody>
        <a:bodyPr xmlns:a="http://schemas.openxmlformats.org/drawingml/2006/main" wrap="none" lIns="18288" tIns="0" rIns="0" bIns="0" anchor="ctr" upright="1">
          <a:spAutoFit/>
        </a:bodyPr>
        <a:lstStyle xmlns:a="http://schemas.openxmlformats.org/drawingml/2006/main"/>
        <a:p xmlns:a="http://schemas.openxmlformats.org/drawingml/2006/main">
          <a:pPr algn="ctr" rtl="0">
            <a:defRPr sz="1000"/>
          </a:pPr>
          <a:endParaRPr lang="ja-JP" altLang="en-US"/>
        </a:p>
      </cdr:txBody>
    </cdr:sp>
  </cdr:relSizeAnchor>
</c:userShapes>
</file>

<file path=xl/drawings/drawing19.xml><?xml version="1.0" encoding="utf-8"?>
<c:userShapes xmlns:c="http://schemas.openxmlformats.org/drawingml/2006/chart">
  <cdr:relSizeAnchor xmlns:cdr="http://schemas.openxmlformats.org/drawingml/2006/chartDrawing">
    <cdr:from>
      <cdr:x>0.49775</cdr:x>
      <cdr:y>0.70409</cdr:y>
    </cdr:from>
    <cdr:to>
      <cdr:x>0.50077</cdr:x>
      <cdr:y>0.72977</cdr:y>
    </cdr:to>
    <cdr:sp macro="" textlink="">
      <cdr:nvSpPr>
        <cdr:cNvPr id="107521" name="Text Box 1"/>
        <cdr:cNvSpPr txBox="1">
          <a:spLocks xmlns:a="http://schemas.openxmlformats.org/drawingml/2006/main" noChangeArrowheads="1"/>
        </cdr:cNvSpPr>
      </cdr:nvSpPr>
      <cdr:spPr bwMode="auto">
        <a:xfrm xmlns:a="http://schemas.openxmlformats.org/drawingml/2006/main">
          <a:off x="3058000" y="4289870"/>
          <a:ext cx="18531" cy="156518"/>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a:extLst xmlns:a="http://schemas.openxmlformats.org/drawingml/2006/main">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cdr:spPr>
      <cdr:txBody>
        <a:bodyPr xmlns:a="http://schemas.openxmlformats.org/drawingml/2006/main" wrap="none" lIns="18288" tIns="0" rIns="0" bIns="0" anchor="ctr" upright="1">
          <a:spAutoFit/>
        </a:bodyPr>
        <a:lstStyle xmlns:a="http://schemas.openxmlformats.org/drawingml/2006/main"/>
        <a:p xmlns:a="http://schemas.openxmlformats.org/drawingml/2006/main">
          <a:pPr algn="ctr" rtl="0">
            <a:defRPr sz="1000"/>
          </a:pPr>
          <a:endParaRPr lang="ja-JP" altLang="en-US"/>
        </a:p>
      </cdr:txBody>
    </cdr:sp>
  </cdr:relSizeAnchor>
</c:userShapes>
</file>

<file path=xl/drawings/drawing2.xml><?xml version="1.0" encoding="utf-8"?>
<c:userShapes xmlns:c="http://schemas.openxmlformats.org/drawingml/2006/chart">
  <cdr:relSizeAnchor xmlns:cdr="http://schemas.openxmlformats.org/drawingml/2006/chartDrawing">
    <cdr:from>
      <cdr:x>0.50775</cdr:x>
      <cdr:y>0.59371</cdr:y>
    </cdr:from>
    <cdr:to>
      <cdr:x>0.50972</cdr:x>
      <cdr:y>0.61603</cdr:y>
    </cdr:to>
    <cdr:sp macro="" textlink="">
      <cdr:nvSpPr>
        <cdr:cNvPr id="4097" name="Text Box 1"/>
        <cdr:cNvSpPr txBox="1">
          <a:spLocks xmlns:a="http://schemas.openxmlformats.org/drawingml/2006/main" noChangeArrowheads="1"/>
        </cdr:cNvSpPr>
      </cdr:nvSpPr>
      <cdr:spPr bwMode="auto">
        <a:xfrm xmlns:a="http://schemas.openxmlformats.org/drawingml/2006/main">
          <a:off x="4797670" y="4162121"/>
          <a:ext cx="18530" cy="156518"/>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a:extLst xmlns:a="http://schemas.openxmlformats.org/drawingml/2006/main">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cdr:spPr>
      <cdr:txBody>
        <a:bodyPr xmlns:a="http://schemas.openxmlformats.org/drawingml/2006/main" wrap="none" lIns="18288" tIns="0" rIns="0" bIns="0" anchor="ctr" upright="1">
          <a:spAutoFit/>
        </a:bodyPr>
        <a:lstStyle xmlns:a="http://schemas.openxmlformats.org/drawingml/2006/main"/>
        <a:p xmlns:a="http://schemas.openxmlformats.org/drawingml/2006/main">
          <a:pPr algn="ctr" rtl="0">
            <a:defRPr sz="1000"/>
          </a:pPr>
          <a:endParaRPr lang="ja-JP" altLang="en-US"/>
        </a:p>
      </cdr:txBody>
    </cdr:sp>
  </cdr:relSizeAnchor>
</c:userShapes>
</file>

<file path=xl/drawings/drawing20.xml><?xml version="1.0" encoding="utf-8"?>
<c:userShapes xmlns:c="http://schemas.openxmlformats.org/drawingml/2006/chart">
  <cdr:relSizeAnchor xmlns:cdr="http://schemas.openxmlformats.org/drawingml/2006/chartDrawing">
    <cdr:from>
      <cdr:x>0.49775</cdr:x>
      <cdr:y>0.70409</cdr:y>
    </cdr:from>
    <cdr:to>
      <cdr:x>0.50077</cdr:x>
      <cdr:y>0.72977</cdr:y>
    </cdr:to>
    <cdr:sp macro="" textlink="">
      <cdr:nvSpPr>
        <cdr:cNvPr id="107521" name="Text Box 1"/>
        <cdr:cNvSpPr txBox="1">
          <a:spLocks xmlns:a="http://schemas.openxmlformats.org/drawingml/2006/main" noChangeArrowheads="1"/>
        </cdr:cNvSpPr>
      </cdr:nvSpPr>
      <cdr:spPr bwMode="auto">
        <a:xfrm xmlns:a="http://schemas.openxmlformats.org/drawingml/2006/main">
          <a:off x="3058000" y="4289870"/>
          <a:ext cx="18531" cy="156518"/>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a:extLst xmlns:a="http://schemas.openxmlformats.org/drawingml/2006/main">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cdr:spPr>
      <cdr:txBody>
        <a:bodyPr xmlns:a="http://schemas.openxmlformats.org/drawingml/2006/main" wrap="none" lIns="18288" tIns="0" rIns="0" bIns="0" anchor="ctr" upright="1">
          <a:spAutoFit/>
        </a:bodyPr>
        <a:lstStyle xmlns:a="http://schemas.openxmlformats.org/drawingml/2006/main"/>
        <a:p xmlns:a="http://schemas.openxmlformats.org/drawingml/2006/main">
          <a:pPr algn="ctr" rtl="0">
            <a:defRPr sz="1000"/>
          </a:pPr>
          <a:endParaRPr lang="ja-JP" altLang="en-US"/>
        </a:p>
      </cdr:txBody>
    </cdr:sp>
  </cdr:relSizeAnchor>
</c:userShapes>
</file>

<file path=xl/drawings/drawing21.xml><?xml version="1.0" encoding="utf-8"?>
<c:userShapes xmlns:c="http://schemas.openxmlformats.org/drawingml/2006/chart">
  <cdr:relSizeAnchor xmlns:cdr="http://schemas.openxmlformats.org/drawingml/2006/chartDrawing">
    <cdr:from>
      <cdr:x>0.49775</cdr:x>
      <cdr:y>0.70409</cdr:y>
    </cdr:from>
    <cdr:to>
      <cdr:x>0.50077</cdr:x>
      <cdr:y>0.72977</cdr:y>
    </cdr:to>
    <cdr:sp macro="" textlink="">
      <cdr:nvSpPr>
        <cdr:cNvPr id="107521" name="Text Box 1"/>
        <cdr:cNvSpPr txBox="1">
          <a:spLocks xmlns:a="http://schemas.openxmlformats.org/drawingml/2006/main" noChangeArrowheads="1"/>
        </cdr:cNvSpPr>
      </cdr:nvSpPr>
      <cdr:spPr bwMode="auto">
        <a:xfrm xmlns:a="http://schemas.openxmlformats.org/drawingml/2006/main">
          <a:off x="3058000" y="4289870"/>
          <a:ext cx="18531" cy="156518"/>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a:extLst xmlns:a="http://schemas.openxmlformats.org/drawingml/2006/main">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cdr:spPr>
      <cdr:txBody>
        <a:bodyPr xmlns:a="http://schemas.openxmlformats.org/drawingml/2006/main" wrap="none" lIns="18288" tIns="0" rIns="0" bIns="0" anchor="ctr" upright="1">
          <a:spAutoFit/>
        </a:bodyPr>
        <a:lstStyle xmlns:a="http://schemas.openxmlformats.org/drawingml/2006/main"/>
        <a:p xmlns:a="http://schemas.openxmlformats.org/drawingml/2006/main">
          <a:pPr algn="ctr" rtl="0">
            <a:defRPr sz="1000"/>
          </a:pPr>
          <a:endParaRPr lang="ja-JP" altLang="en-US"/>
        </a:p>
      </cdr:txBody>
    </cdr:sp>
  </cdr:relSizeAnchor>
</c:userShapes>
</file>

<file path=xl/drawings/drawing22.xml><?xml version="1.0" encoding="utf-8"?>
<xdr:wsDr xmlns:xdr="http://schemas.openxmlformats.org/drawingml/2006/spreadsheetDrawing" xmlns:a="http://schemas.openxmlformats.org/drawingml/2006/main">
  <xdr:twoCellAnchor>
    <xdr:from>
      <xdr:col>5</xdr:col>
      <xdr:colOff>496897</xdr:colOff>
      <xdr:row>62</xdr:row>
      <xdr:rowOff>32819</xdr:rowOff>
    </xdr:from>
    <xdr:to>
      <xdr:col>30</xdr:col>
      <xdr:colOff>58187</xdr:colOff>
      <xdr:row>96</xdr:row>
      <xdr:rowOff>23293</xdr:rowOff>
    </xdr:to>
    <xdr:graphicFrame macro="">
      <xdr:nvGraphicFramePr>
        <xdr:cNvPr id="97610" name="グラフ 1">
          <a:extLst>
            <a:ext uri="{FF2B5EF4-FFF2-40B4-BE49-F238E27FC236}">
              <a16:creationId xmlns:a16="http://schemas.microsoft.com/office/drawing/2014/main" id="{00000000-0008-0000-1000-00004A7D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3.xml><?xml version="1.0" encoding="utf-8"?>
<c:userShapes xmlns:c="http://schemas.openxmlformats.org/drawingml/2006/chart">
  <cdr:relSizeAnchor xmlns:cdr="http://schemas.openxmlformats.org/drawingml/2006/chartDrawing">
    <cdr:from>
      <cdr:x>0.51053</cdr:x>
      <cdr:y>0.61514</cdr:y>
    </cdr:from>
    <cdr:to>
      <cdr:x>0.51359</cdr:x>
      <cdr:y>0.64258</cdr:y>
    </cdr:to>
    <cdr:sp macro="" textlink="">
      <cdr:nvSpPr>
        <cdr:cNvPr id="98305" name="Text Box 1"/>
        <cdr:cNvSpPr txBox="1">
          <a:spLocks xmlns:a="http://schemas.openxmlformats.org/drawingml/2006/main" noChangeArrowheads="1"/>
        </cdr:cNvSpPr>
      </cdr:nvSpPr>
      <cdr:spPr bwMode="auto">
        <a:xfrm xmlns:a="http://schemas.openxmlformats.org/drawingml/2006/main">
          <a:off x="3094178" y="3509686"/>
          <a:ext cx="18531" cy="156518"/>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a:extLst xmlns:a="http://schemas.openxmlformats.org/drawingml/2006/main">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cdr:spPr>
      <cdr:txBody>
        <a:bodyPr xmlns:a="http://schemas.openxmlformats.org/drawingml/2006/main" wrap="none" lIns="18288" tIns="0" rIns="0" bIns="0" anchor="ctr" upright="1">
          <a:spAutoFit/>
        </a:bodyPr>
        <a:lstStyle xmlns:a="http://schemas.openxmlformats.org/drawingml/2006/main"/>
        <a:p xmlns:a="http://schemas.openxmlformats.org/drawingml/2006/main">
          <a:pPr algn="ctr" rtl="0">
            <a:defRPr sz="1000"/>
          </a:pPr>
          <a:endParaRPr lang="ja-JP" altLang="en-US"/>
        </a:p>
      </cdr:txBody>
    </cdr:sp>
  </cdr:relSizeAnchor>
</c:userShapes>
</file>

<file path=xl/drawings/drawing24.xml><?xml version="1.0" encoding="utf-8"?>
<xdr:wsDr xmlns:xdr="http://schemas.openxmlformats.org/drawingml/2006/spreadsheetDrawing" xmlns:a="http://schemas.openxmlformats.org/drawingml/2006/main">
  <xdr:twoCellAnchor>
    <xdr:from>
      <xdr:col>0</xdr:col>
      <xdr:colOff>114300</xdr:colOff>
      <xdr:row>61</xdr:row>
      <xdr:rowOff>15422</xdr:rowOff>
    </xdr:from>
    <xdr:to>
      <xdr:col>13</xdr:col>
      <xdr:colOff>296635</xdr:colOff>
      <xdr:row>94</xdr:row>
      <xdr:rowOff>173265</xdr:rowOff>
    </xdr:to>
    <xdr:graphicFrame macro="">
      <xdr:nvGraphicFramePr>
        <xdr:cNvPr id="92483" name="グラフ 1">
          <a:extLst>
            <a:ext uri="{FF2B5EF4-FFF2-40B4-BE49-F238E27FC236}">
              <a16:creationId xmlns:a16="http://schemas.microsoft.com/office/drawing/2014/main" id="{00000000-0008-0000-1100-00004369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5.xml><?xml version="1.0" encoding="utf-8"?>
<c:userShapes xmlns:c="http://schemas.openxmlformats.org/drawingml/2006/chart">
  <cdr:relSizeAnchor xmlns:cdr="http://schemas.openxmlformats.org/drawingml/2006/chartDrawing">
    <cdr:from>
      <cdr:x>0.49246</cdr:x>
      <cdr:y>0.59964</cdr:y>
    </cdr:from>
    <cdr:to>
      <cdr:x>0.49549</cdr:x>
      <cdr:y>0.62561</cdr:y>
    </cdr:to>
    <cdr:sp macro="" textlink="">
      <cdr:nvSpPr>
        <cdr:cNvPr id="93185" name="Text Box 1"/>
        <cdr:cNvSpPr txBox="1">
          <a:spLocks xmlns:a="http://schemas.openxmlformats.org/drawingml/2006/main" noChangeArrowheads="1"/>
        </cdr:cNvSpPr>
      </cdr:nvSpPr>
      <cdr:spPr bwMode="auto">
        <a:xfrm xmlns:a="http://schemas.openxmlformats.org/drawingml/2006/main">
          <a:off x="3002006" y="3613511"/>
          <a:ext cx="18530" cy="156518"/>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a:extLst xmlns:a="http://schemas.openxmlformats.org/drawingml/2006/main">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cdr:spPr>
      <cdr:txBody>
        <a:bodyPr xmlns:a="http://schemas.openxmlformats.org/drawingml/2006/main" wrap="none" lIns="18288" tIns="0" rIns="0" bIns="0" anchor="ctr" upright="1">
          <a:spAutoFit/>
        </a:bodyPr>
        <a:lstStyle xmlns:a="http://schemas.openxmlformats.org/drawingml/2006/main"/>
        <a:p xmlns:a="http://schemas.openxmlformats.org/drawingml/2006/main">
          <a:pPr algn="ctr" rtl="0">
            <a:defRPr sz="1000"/>
          </a:pPr>
          <a:endParaRPr lang="ja-JP" altLang="en-US"/>
        </a:p>
      </cdr:txBody>
    </cdr:sp>
  </cdr:relSizeAnchor>
</c:userShapes>
</file>

<file path=xl/drawings/drawing26.xml><?xml version="1.0" encoding="utf-8"?>
<xdr:wsDr xmlns:xdr="http://schemas.openxmlformats.org/drawingml/2006/spreadsheetDrawing" xmlns:a="http://schemas.openxmlformats.org/drawingml/2006/main">
  <xdr:twoCellAnchor>
    <xdr:from>
      <xdr:col>0</xdr:col>
      <xdr:colOff>428624</xdr:colOff>
      <xdr:row>58</xdr:row>
      <xdr:rowOff>152400</xdr:rowOff>
    </xdr:from>
    <xdr:to>
      <xdr:col>8</xdr:col>
      <xdr:colOff>666749</xdr:colOff>
      <xdr:row>74</xdr:row>
      <xdr:rowOff>152400</xdr:rowOff>
    </xdr:to>
    <xdr:graphicFrame macro="">
      <xdr:nvGraphicFramePr>
        <xdr:cNvPr id="2" name="グラフ 1">
          <a:extLst>
            <a:ext uri="{FF2B5EF4-FFF2-40B4-BE49-F238E27FC236}">
              <a16:creationId xmlns:a16="http://schemas.microsoft.com/office/drawing/2014/main" id="{00000000-0008-0000-14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c:userShapes xmlns:c="http://schemas.openxmlformats.org/drawingml/2006/chart">
  <cdr:relSizeAnchor xmlns:cdr="http://schemas.openxmlformats.org/drawingml/2006/chartDrawing">
    <cdr:from>
      <cdr:x>0.49828</cdr:x>
      <cdr:y>0.70577</cdr:y>
    </cdr:from>
    <cdr:to>
      <cdr:x>0.50024</cdr:x>
      <cdr:y>0.72809</cdr:y>
    </cdr:to>
    <cdr:sp macro="" textlink="">
      <cdr:nvSpPr>
        <cdr:cNvPr id="107521" name="Text Box 1"/>
        <cdr:cNvSpPr txBox="1">
          <a:spLocks xmlns:a="http://schemas.openxmlformats.org/drawingml/2006/main" noChangeArrowheads="1"/>
        </cdr:cNvSpPr>
      </cdr:nvSpPr>
      <cdr:spPr bwMode="auto">
        <a:xfrm xmlns:a="http://schemas.openxmlformats.org/drawingml/2006/main">
          <a:off x="4708142" y="4947707"/>
          <a:ext cx="18531" cy="156518"/>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a:extLst xmlns:a="http://schemas.openxmlformats.org/drawingml/2006/main">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cdr:spPr>
      <cdr:txBody>
        <a:bodyPr xmlns:a="http://schemas.openxmlformats.org/drawingml/2006/main" wrap="none" lIns="18288" tIns="0" rIns="0" bIns="0" anchor="ctr" upright="1">
          <a:spAutoFit/>
        </a:bodyPr>
        <a:lstStyle xmlns:a="http://schemas.openxmlformats.org/drawingml/2006/main"/>
        <a:p xmlns:a="http://schemas.openxmlformats.org/drawingml/2006/main">
          <a:pPr algn="ctr" rtl="0">
            <a:defRPr sz="1000"/>
          </a:pPr>
          <a:endParaRPr lang="ja-JP" altLang="en-US"/>
        </a:p>
      </cdr:txBody>
    </cdr:sp>
  </cdr:relSizeAnchor>
</c:userShapes>
</file>

<file path=xl/drawings/drawing4.xml><?xml version="1.0" encoding="utf-8"?>
<c:userShapes xmlns:c="http://schemas.openxmlformats.org/drawingml/2006/chart">
  <cdr:relSizeAnchor xmlns:cdr="http://schemas.openxmlformats.org/drawingml/2006/chartDrawing">
    <cdr:from>
      <cdr:x>0.49472</cdr:x>
      <cdr:y>0.72642</cdr:y>
    </cdr:from>
    <cdr:to>
      <cdr:x>0.49667</cdr:x>
      <cdr:y>0.74868</cdr:y>
    </cdr:to>
    <cdr:sp macro="" textlink="">
      <cdr:nvSpPr>
        <cdr:cNvPr id="146433" name="Text Box 1"/>
        <cdr:cNvSpPr txBox="1">
          <a:spLocks xmlns:a="http://schemas.openxmlformats.org/drawingml/2006/main" noChangeArrowheads="1"/>
        </cdr:cNvSpPr>
      </cdr:nvSpPr>
      <cdr:spPr bwMode="auto">
        <a:xfrm xmlns:a="http://schemas.openxmlformats.org/drawingml/2006/main">
          <a:off x="4693343" y="5106312"/>
          <a:ext cx="18530" cy="156518"/>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a:extLst xmlns:a="http://schemas.openxmlformats.org/drawingml/2006/main">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cdr:spPr>
      <cdr:txBody>
        <a:bodyPr xmlns:a="http://schemas.openxmlformats.org/drawingml/2006/main" wrap="none" lIns="18288" tIns="0" rIns="0" bIns="0" anchor="ctr" upright="1">
          <a:spAutoFit/>
        </a:bodyPr>
        <a:lstStyle xmlns:a="http://schemas.openxmlformats.org/drawingml/2006/main"/>
        <a:p xmlns:a="http://schemas.openxmlformats.org/drawingml/2006/main">
          <a:pPr algn="ctr" rtl="0">
            <a:defRPr sz="1000"/>
          </a:pPr>
          <a:endParaRPr lang="ja-JP" altLang="en-US"/>
        </a:p>
      </cdr:txBody>
    </cdr:sp>
  </cdr:relSizeAnchor>
</c:userShapes>
</file>

<file path=xl/drawings/drawing5.xml><?xml version="1.0" encoding="utf-8"?>
<c:userShapes xmlns:c="http://schemas.openxmlformats.org/drawingml/2006/chart">
  <cdr:relSizeAnchor xmlns:cdr="http://schemas.openxmlformats.org/drawingml/2006/chartDrawing">
    <cdr:from>
      <cdr:x>0.51108</cdr:x>
      <cdr:y>0.61764</cdr:y>
    </cdr:from>
    <cdr:to>
      <cdr:x>0.51304</cdr:x>
      <cdr:y>0.64008</cdr:y>
    </cdr:to>
    <cdr:sp macro="" textlink="">
      <cdr:nvSpPr>
        <cdr:cNvPr id="98305" name="Text Box 1"/>
        <cdr:cNvSpPr txBox="1">
          <a:spLocks xmlns:a="http://schemas.openxmlformats.org/drawingml/2006/main" noChangeArrowheads="1"/>
        </cdr:cNvSpPr>
      </cdr:nvSpPr>
      <cdr:spPr bwMode="auto">
        <a:xfrm xmlns:a="http://schemas.openxmlformats.org/drawingml/2006/main">
          <a:off x="4819332" y="4306342"/>
          <a:ext cx="18530" cy="156518"/>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a:extLst xmlns:a="http://schemas.openxmlformats.org/drawingml/2006/main">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cdr:spPr>
      <cdr:txBody>
        <a:bodyPr xmlns:a="http://schemas.openxmlformats.org/drawingml/2006/main" wrap="none" lIns="18288" tIns="0" rIns="0" bIns="0" anchor="ctr" upright="1">
          <a:spAutoFit/>
        </a:bodyPr>
        <a:lstStyle xmlns:a="http://schemas.openxmlformats.org/drawingml/2006/main"/>
        <a:p xmlns:a="http://schemas.openxmlformats.org/drawingml/2006/main">
          <a:pPr algn="ctr" rtl="0">
            <a:defRPr sz="1000"/>
          </a:pPr>
          <a:endParaRPr lang="ja-JP" altLang="en-US"/>
        </a:p>
      </cdr:txBody>
    </cdr:sp>
  </cdr:relSizeAnchor>
</c:userShapes>
</file>

<file path=xl/drawings/drawing6.xml><?xml version="1.0" encoding="utf-8"?>
<c:userShapes xmlns:c="http://schemas.openxmlformats.org/drawingml/2006/chart">
  <cdr:relSizeAnchor xmlns:cdr="http://schemas.openxmlformats.org/drawingml/2006/chartDrawing">
    <cdr:from>
      <cdr:x>0.51107</cdr:x>
      <cdr:y>0.61751</cdr:y>
    </cdr:from>
    <cdr:to>
      <cdr:x>0.51305</cdr:x>
      <cdr:y>0.64021</cdr:y>
    </cdr:to>
    <cdr:sp macro="" textlink="">
      <cdr:nvSpPr>
        <cdr:cNvPr id="98305" name="Text Box 1"/>
        <cdr:cNvSpPr txBox="1">
          <a:spLocks xmlns:a="http://schemas.openxmlformats.org/drawingml/2006/main" noChangeArrowheads="1"/>
        </cdr:cNvSpPr>
      </cdr:nvSpPr>
      <cdr:spPr bwMode="auto">
        <a:xfrm xmlns:a="http://schemas.openxmlformats.org/drawingml/2006/main">
          <a:off x="4799823" y="4258422"/>
          <a:ext cx="18530" cy="156518"/>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a:extLst xmlns:a="http://schemas.openxmlformats.org/drawingml/2006/main">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cdr:spPr>
      <cdr:txBody>
        <a:bodyPr xmlns:a="http://schemas.openxmlformats.org/drawingml/2006/main" wrap="none" lIns="18288" tIns="0" rIns="0" bIns="0" anchor="ctr" upright="1">
          <a:spAutoFit/>
        </a:bodyPr>
        <a:lstStyle xmlns:a="http://schemas.openxmlformats.org/drawingml/2006/main"/>
        <a:p xmlns:a="http://schemas.openxmlformats.org/drawingml/2006/main">
          <a:pPr algn="ctr" rtl="0">
            <a:defRPr sz="1000"/>
          </a:pPr>
          <a:endParaRPr lang="ja-JP" altLang="en-US"/>
        </a:p>
      </cdr:txBody>
    </cdr:sp>
  </cdr:relSizeAnchor>
</c:userShapes>
</file>

<file path=xl/drawings/drawing7.xml><?xml version="1.0" encoding="utf-8"?>
<c:userShapes xmlns:c="http://schemas.openxmlformats.org/drawingml/2006/chart">
  <cdr:relSizeAnchor xmlns:cdr="http://schemas.openxmlformats.org/drawingml/2006/chartDrawing">
    <cdr:from>
      <cdr:x>0.49299</cdr:x>
      <cdr:y>0.60137</cdr:y>
    </cdr:from>
    <cdr:to>
      <cdr:x>0.49496</cdr:x>
      <cdr:y>0.62388</cdr:y>
    </cdr:to>
    <cdr:sp macro="" textlink="">
      <cdr:nvSpPr>
        <cdr:cNvPr id="93185" name="Text Box 1"/>
        <cdr:cNvSpPr txBox="1">
          <a:spLocks xmlns:a="http://schemas.openxmlformats.org/drawingml/2006/main" noChangeArrowheads="1"/>
        </cdr:cNvSpPr>
      </cdr:nvSpPr>
      <cdr:spPr bwMode="auto">
        <a:xfrm xmlns:a="http://schemas.openxmlformats.org/drawingml/2006/main">
          <a:off x="4658205" y="4181476"/>
          <a:ext cx="18531" cy="156518"/>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a:extLst xmlns:a="http://schemas.openxmlformats.org/drawingml/2006/main">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cdr:spPr>
      <cdr:txBody>
        <a:bodyPr xmlns:a="http://schemas.openxmlformats.org/drawingml/2006/main" wrap="none" lIns="18288" tIns="0" rIns="0" bIns="0" anchor="ctr" upright="1">
          <a:spAutoFit/>
        </a:bodyPr>
        <a:lstStyle xmlns:a="http://schemas.openxmlformats.org/drawingml/2006/main"/>
        <a:p xmlns:a="http://schemas.openxmlformats.org/drawingml/2006/main">
          <a:pPr algn="ctr" rtl="0">
            <a:defRPr sz="1000"/>
          </a:pPr>
          <a:endParaRPr lang="ja-JP" altLang="en-US"/>
        </a:p>
      </cdr:txBody>
    </cdr:sp>
  </cdr:relSizeAnchor>
</c:userShapes>
</file>

<file path=xl/drawings/drawing8.xml><?xml version="1.0" encoding="utf-8"?>
<c:userShapes xmlns:c="http://schemas.openxmlformats.org/drawingml/2006/chart">
  <cdr:relSizeAnchor xmlns:cdr="http://schemas.openxmlformats.org/drawingml/2006/chartDrawing">
    <cdr:from>
      <cdr:x>0.50159</cdr:x>
      <cdr:y>0.57885</cdr:y>
    </cdr:from>
    <cdr:to>
      <cdr:x>0.50358</cdr:x>
      <cdr:y>0.60117</cdr:y>
    </cdr:to>
    <cdr:sp macro="" textlink="">
      <cdr:nvSpPr>
        <cdr:cNvPr id="37889" name="Text Box 1"/>
        <cdr:cNvSpPr txBox="1">
          <a:spLocks xmlns:a="http://schemas.openxmlformats.org/drawingml/2006/main" noChangeArrowheads="1"/>
        </cdr:cNvSpPr>
      </cdr:nvSpPr>
      <cdr:spPr bwMode="auto">
        <a:xfrm xmlns:a="http://schemas.openxmlformats.org/drawingml/2006/main">
          <a:off x="4691688" y="4057947"/>
          <a:ext cx="18531" cy="156518"/>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a:extLst xmlns:a="http://schemas.openxmlformats.org/drawingml/2006/main">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cdr:spPr>
      <cdr:txBody>
        <a:bodyPr xmlns:a="http://schemas.openxmlformats.org/drawingml/2006/main" wrap="none" lIns="18288" tIns="0" rIns="0" bIns="0" anchor="ctr" upright="1">
          <a:spAutoFit/>
        </a:bodyPr>
        <a:lstStyle xmlns:a="http://schemas.openxmlformats.org/drawingml/2006/main"/>
        <a:p xmlns:a="http://schemas.openxmlformats.org/drawingml/2006/main">
          <a:pPr algn="ctr" rtl="0">
            <a:defRPr sz="1000"/>
          </a:pPr>
          <a:endParaRPr lang="ja-JP" altLang="en-US"/>
        </a:p>
      </cdr:txBody>
    </cdr:sp>
  </cdr:relSizeAnchor>
  <cdr:relSizeAnchor xmlns:cdr="http://schemas.openxmlformats.org/drawingml/2006/chartDrawing">
    <cdr:from>
      <cdr:x>0.50159</cdr:x>
      <cdr:y>0.57885</cdr:y>
    </cdr:from>
    <cdr:to>
      <cdr:x>0.50358</cdr:x>
      <cdr:y>0.60117</cdr:y>
    </cdr:to>
    <cdr:sp macro="" textlink="">
      <cdr:nvSpPr>
        <cdr:cNvPr id="2" name="Text Box 1"/>
        <cdr:cNvSpPr txBox="1">
          <a:spLocks xmlns:a="http://schemas.openxmlformats.org/drawingml/2006/main" noChangeArrowheads="1"/>
        </cdr:cNvSpPr>
      </cdr:nvSpPr>
      <cdr:spPr bwMode="auto">
        <a:xfrm xmlns:a="http://schemas.openxmlformats.org/drawingml/2006/main">
          <a:off x="4691688" y="4057947"/>
          <a:ext cx="18531" cy="156518"/>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a:extLst xmlns:a="http://schemas.openxmlformats.org/drawingml/2006/main">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cdr:spPr>
      <cdr:txBody>
        <a:bodyPr xmlns:a="http://schemas.openxmlformats.org/drawingml/2006/main" wrap="none" lIns="18288" tIns="0" rIns="0" bIns="0" anchor="ctr" upright="1">
          <a:spAutoFit/>
        </a:bodyPr>
        <a:lstStyle xmlns:a="http://schemas.openxmlformats.org/drawingml/2006/main"/>
        <a:p xmlns:a="http://schemas.openxmlformats.org/drawingml/2006/main">
          <a:pPr algn="ctr" rtl="0">
            <a:defRPr sz="1000"/>
          </a:pPr>
          <a:endParaRPr lang="ja-JP" altLang="en-US"/>
        </a:p>
      </cdr:txBody>
    </cdr:sp>
  </cdr:relSizeAnchor>
</c:userShapes>
</file>

<file path=xl/drawings/drawing9.xml><?xml version="1.0" encoding="utf-8"?>
<c:userShapes xmlns:c="http://schemas.openxmlformats.org/drawingml/2006/chart">
  <cdr:relSizeAnchor xmlns:cdr="http://schemas.openxmlformats.org/drawingml/2006/chartDrawing">
    <cdr:from>
      <cdr:x>0.50333</cdr:x>
      <cdr:y>0.59709</cdr:y>
    </cdr:from>
    <cdr:to>
      <cdr:x>0.50529</cdr:x>
      <cdr:y>0.6201</cdr:y>
    </cdr:to>
    <cdr:sp macro="" textlink="">
      <cdr:nvSpPr>
        <cdr:cNvPr id="78849" name="Text Box 1"/>
        <cdr:cNvSpPr txBox="1">
          <a:spLocks xmlns:a="http://schemas.openxmlformats.org/drawingml/2006/main" noChangeArrowheads="1"/>
        </cdr:cNvSpPr>
      </cdr:nvSpPr>
      <cdr:spPr bwMode="auto">
        <a:xfrm xmlns:a="http://schemas.openxmlformats.org/drawingml/2006/main">
          <a:off x="4765466" y="4060704"/>
          <a:ext cx="18531" cy="156518"/>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a:extLst xmlns:a="http://schemas.openxmlformats.org/drawingml/2006/main">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cdr:spPr>
      <cdr:txBody>
        <a:bodyPr xmlns:a="http://schemas.openxmlformats.org/drawingml/2006/main" wrap="none" lIns="18288" tIns="0" rIns="0" bIns="0" anchor="ctr" upright="1">
          <a:spAutoFit/>
        </a:bodyPr>
        <a:lstStyle xmlns:a="http://schemas.openxmlformats.org/drawingml/2006/main"/>
        <a:p xmlns:a="http://schemas.openxmlformats.org/drawingml/2006/main">
          <a:pPr algn="ctr" rtl="0">
            <a:defRPr sz="1000"/>
          </a:pPr>
          <a:endParaRPr lang="ja-JP" altLang="en-US"/>
        </a:p>
      </cdr:txBody>
    </cdr:sp>
  </cdr:relSizeAnchor>
</c:userShapes>
</file>

<file path=xl/persons/person.xml><?xml version="1.0" encoding="utf-8"?>
<personList xmlns="http://schemas.microsoft.com/office/spreadsheetml/2018/threadedcomments" xmlns:x="http://schemas.openxmlformats.org/spreadsheetml/2006/main">
  <person displayName="森 伸幸" id="{0865C705-A58C-4A7C-ACFF-C2AC1EC010F9}" userId="S::m901061@mieken.jp::4c396e8f-18e5-401e-bbd1-f99920a2395b" providerId="AD"/>
</personList>
</file>

<file path=xl/theme/_rels/theme1.xml.rels><?xml version="1.0" encoding="UTF-8" standalone="yes"?><Relationships xmlns="http://schemas.openxmlformats.org/package/2006/relationships"><Relationship Id="rId1" Target="../media/image1.jpeg" Type="http://schemas.openxmlformats.org/officeDocument/2006/relationships/image"/></Relationships>
</file>

<file path=xl/theme/theme1.xml><?xml version="1.0" encoding="utf-8"?>
<a:theme xmlns:a="http://schemas.openxmlformats.org/drawingml/2006/main" name="アース">
  <a:themeElements>
    <a:clrScheme name="アース">
      <a:dk1>
        <a:sysClr val="windowText" lastClr="000000"/>
      </a:dk1>
      <a:lt1>
        <a:sysClr val="window" lastClr="FFFFFF"/>
      </a:lt1>
      <a:dk2>
        <a:srgbClr val="464653"/>
      </a:dk2>
      <a:lt2>
        <a:srgbClr val="DDE9EC"/>
      </a:lt2>
      <a:accent1>
        <a:srgbClr val="727CA3"/>
      </a:accent1>
      <a:accent2>
        <a:srgbClr val="9FB8CD"/>
      </a:accent2>
      <a:accent3>
        <a:srgbClr val="D2DA7A"/>
      </a:accent3>
      <a:accent4>
        <a:srgbClr val="FADA7A"/>
      </a:accent4>
      <a:accent5>
        <a:srgbClr val="B88472"/>
      </a:accent5>
      <a:accent6>
        <a:srgbClr val="8E736A"/>
      </a:accent6>
      <a:hlink>
        <a:srgbClr val="B292CA"/>
      </a:hlink>
      <a:folHlink>
        <a:srgbClr val="6B5680"/>
      </a:folHlink>
    </a:clrScheme>
    <a:fontScheme name="アース">
      <a:majorFont>
        <a:latin typeface="Bookman Old Style"/>
        <a:ea typeface=""/>
        <a:cs typeface=""/>
        <a:font script="Grek" typeface="Cambria"/>
        <a:font script="Cyrl" typeface="Cambria"/>
        <a:font script="Jpan" typeface="HG明朝E"/>
        <a:font script="Hang" typeface="돋움"/>
        <a:font script="Hans" typeface="宋体"/>
        <a:font script="Hant" typeface="標楷體"/>
        <a:font script="Arab" typeface="Times New Roman"/>
        <a:font script="Hebr" typeface="Times New Roman"/>
        <a:font script="Thai" typeface="Browalli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Gill Sans MT"/>
        <a:ea typeface=""/>
        <a:cs typeface=""/>
        <a:font script="Grek" typeface="Calibri"/>
        <a:font script="Cyrl" typeface="Calibri"/>
        <a:font script="Jpan" typeface="ＭＳ Ｐゴシック"/>
        <a:font script="Hang" typeface="맑은 고딕"/>
        <a:font script="Hans" typeface="华文新魏"/>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アース">
      <a:fillStyleLst>
        <a:solidFill>
          <a:schemeClr val="phClr"/>
        </a:solidFill>
        <a:gradFill rotWithShape="1">
          <a:gsLst>
            <a:gs pos="0">
              <a:schemeClr val="phClr">
                <a:tint val="45000"/>
                <a:satMod val="200000"/>
              </a:schemeClr>
            </a:gs>
            <a:gs pos="30000">
              <a:schemeClr val="phClr">
                <a:tint val="61000"/>
                <a:satMod val="200000"/>
              </a:schemeClr>
            </a:gs>
            <a:gs pos="45000">
              <a:schemeClr val="phClr">
                <a:tint val="66000"/>
                <a:satMod val="200000"/>
              </a:schemeClr>
            </a:gs>
            <a:gs pos="55000">
              <a:schemeClr val="phClr">
                <a:tint val="66000"/>
                <a:satMod val="200000"/>
              </a:schemeClr>
            </a:gs>
            <a:gs pos="73000">
              <a:schemeClr val="phClr">
                <a:tint val="61000"/>
                <a:satMod val="200000"/>
              </a:schemeClr>
            </a:gs>
            <a:gs pos="100000">
              <a:schemeClr val="phClr">
                <a:tint val="45000"/>
                <a:satMod val="200000"/>
              </a:schemeClr>
            </a:gs>
          </a:gsLst>
          <a:lin ang="950000" scaled="1"/>
        </a:gradFill>
        <a:gradFill rotWithShape="1">
          <a:gsLst>
            <a:gs pos="0">
              <a:schemeClr val="phClr">
                <a:shade val="63000"/>
              </a:schemeClr>
            </a:gs>
            <a:gs pos="30000">
              <a:schemeClr val="phClr">
                <a:shade val="90000"/>
                <a:satMod val="110000"/>
              </a:schemeClr>
            </a:gs>
            <a:gs pos="45000">
              <a:schemeClr val="phClr">
                <a:shade val="100000"/>
                <a:satMod val="118000"/>
              </a:schemeClr>
            </a:gs>
            <a:gs pos="55000">
              <a:schemeClr val="phClr">
                <a:shade val="100000"/>
                <a:satMod val="118000"/>
              </a:schemeClr>
            </a:gs>
            <a:gs pos="73000">
              <a:schemeClr val="phClr">
                <a:shade val="90000"/>
                <a:satMod val="110000"/>
              </a:schemeClr>
            </a:gs>
            <a:gs pos="100000">
              <a:schemeClr val="phClr">
                <a:shade val="63000"/>
              </a:schemeClr>
            </a:gs>
          </a:gsLst>
          <a:lin ang="950000" scaled="1"/>
        </a:gradFill>
      </a:fillStyleLst>
      <a:lnStyleLst>
        <a:ln w="9525" cap="flat" cmpd="sng" algn="ctr">
          <a:solidFill>
            <a:schemeClr val="phClr"/>
          </a:solidFill>
          <a:prstDash val="solid"/>
        </a:ln>
        <a:ln w="19050" cap="flat" cmpd="sng" algn="ctr">
          <a:solidFill>
            <a:schemeClr val="phClr"/>
          </a:solidFill>
          <a:prstDash val="solid"/>
        </a:ln>
        <a:ln w="25400" cap="flat" cmpd="sng" algn="ctr">
          <a:solidFill>
            <a:schemeClr val="phClr"/>
          </a:solidFill>
          <a:prstDash val="solid"/>
        </a:ln>
      </a:lnStyleLst>
      <a:effectStyleLst>
        <a:effectStyle>
          <a:effectLst>
            <a:outerShdw blurRad="38100" dist="25400" dir="5400000" rotWithShape="0">
              <a:srgbClr val="000000">
                <a:alpha val="40000"/>
              </a:srgbClr>
            </a:outerShdw>
          </a:effectLst>
        </a:effectStyle>
        <a:effectStyle>
          <a:effectLst>
            <a:outerShdw blurRad="50800" dist="43000" dir="5400000" rotWithShape="0">
              <a:srgbClr val="000000">
                <a:alpha val="40000"/>
              </a:srgbClr>
            </a:outerShdw>
          </a:effectLst>
          <a:scene3d>
            <a:camera prst="orthographicFront" fov="0">
              <a:rot lat="0" lon="0" rev="0"/>
            </a:camera>
            <a:lightRig rig="balanced" dir="t">
              <a:rot lat="0" lon="0" rev="0"/>
            </a:lightRig>
          </a:scene3d>
          <a:sp3d prstMaterial="matte">
            <a:bevelT w="0" h="0"/>
            <a:contourClr>
              <a:schemeClr val="phClr">
                <a:tint val="100000"/>
                <a:shade val="100000"/>
                <a:hueMod val="100000"/>
                <a:satMod val="100000"/>
              </a:schemeClr>
            </a:contourClr>
          </a:sp3d>
        </a:effectStyle>
        <a:effectStyle>
          <a:effectLst>
            <a:outerShdw blurRad="50800" dist="25400" dir="5400000" rotWithShape="0">
              <a:srgbClr val="000000">
                <a:alpha val="50000"/>
              </a:srgbClr>
            </a:outerShdw>
          </a:effectLst>
          <a:scene3d>
            <a:camera prst="orthographicFront" fov="0">
              <a:rot lat="0" lon="0" rev="0"/>
            </a:camera>
            <a:lightRig rig="soft" dir="t">
              <a:rot lat="0" lon="0" rev="2700000"/>
            </a:lightRig>
          </a:scene3d>
          <a:sp3d prstMaterial="matte">
            <a:bevelT w="50800" h="50800"/>
            <a:contourClr>
              <a:schemeClr val="phClr"/>
            </a:contourClr>
          </a:sp3d>
        </a:effectStyle>
      </a:effectStyleLst>
      <a:bgFillStyleLst>
        <a:solidFill>
          <a:schemeClr val="phClr"/>
        </a:solidFill>
        <a:gradFill rotWithShape="1">
          <a:gsLst>
            <a:gs pos="0">
              <a:schemeClr val="phClr">
                <a:shade val="60000"/>
                <a:satMod val="300000"/>
              </a:schemeClr>
            </a:gs>
            <a:gs pos="30000">
              <a:schemeClr val="phClr">
                <a:shade val="80000"/>
                <a:satMod val="230000"/>
              </a:schemeClr>
            </a:gs>
            <a:gs pos="100000">
              <a:schemeClr val="phClr">
                <a:tint val="97000"/>
                <a:satMod val="220000"/>
              </a:schemeClr>
            </a:gs>
          </a:gsLst>
          <a:lin ang="16200000" scaled="1"/>
        </a:gradFill>
        <a:blipFill>
          <a:blip xmlns:r="http://schemas.openxmlformats.org/officeDocument/2006/relationships" r:embed="rId1">
            <a:duotone>
              <a:schemeClr val="phClr">
                <a:shade val="6000"/>
                <a:satMod val="120000"/>
              </a:schemeClr>
              <a:schemeClr val="phClr">
                <a:tint val="90000"/>
              </a:schemeClr>
            </a:duotone>
          </a:blip>
          <a:tile tx="0" ty="0" sx="35000" sy="40000" flip="x" algn="tl"/>
        </a:blip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G144" dT="2026-06-16T07:32:36.45" personId="{0865C705-A58C-4A7C-ACFF-C2AC1EC010F9}" id="{2F8012D6-9597-4A9E-878A-DFE16E12AF72}">
    <text>トラップ４は１日設置日数が短い</text>
  </threadedComment>
  <threadedComment ref="K144" dT="2026-06-16T07:32:15.94" personId="{0865C705-A58C-4A7C-ACFF-C2AC1EC010F9}" id="{68571D92-E6D1-4D72-92BB-BB47ACD0C89A}">
    <text>トラップ４は設置日数が1日少ない</text>
  </threadedComment>
  <threadedComment ref="O144" dT="2026-06-16T07:31:34.64" personId="{0865C705-A58C-4A7C-ACFF-C2AC1EC010F9}" id="{C599885C-4FAF-4715-A32A-21C81C4272DD}">
    <text>トラップ４は設置忘れのため１日少ない</text>
  </threadedComment>
</ThreadedComments>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2.bin" Type="http://schemas.openxmlformats.org/officeDocument/2006/relationships/printerSettings"/></Relationships>
</file>

<file path=xl/worksheets/_rels/sheet12.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vmlDrawing4.vml" Type="http://schemas.openxmlformats.org/officeDocument/2006/relationships/vmlDrawing"/><Relationship Id="rId3" Target="../comments4.xml" Type="http://schemas.openxmlformats.org/officeDocument/2006/relationships/comments"/></Relationships>
</file>

<file path=xl/worksheets/_rels/sheet13.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vmlDrawing5.vml" Type="http://schemas.openxmlformats.org/officeDocument/2006/relationships/vmlDrawing"/><Relationship Id="rId3" Target="../comments5.xml" Type="http://schemas.openxmlformats.org/officeDocument/2006/relationships/comments"/></Relationships>
</file>

<file path=xl/worksheets/_rels/sheet14.xml.rels><?xml version="1.0" encoding="UTF-8" standalone="yes"?><Relationships xmlns="http://schemas.openxmlformats.org/package/2006/relationships"><Relationship Id="rId1" Target="../printerSettings/printerSettings15.bin" Type="http://schemas.openxmlformats.org/officeDocument/2006/relationships/printerSettings"/></Relationships>
</file>

<file path=xl/worksheets/_rels/sheet16.xml.rels><?xml version="1.0" encoding="UTF-8" standalone="yes"?><Relationships xmlns="http://schemas.openxmlformats.org/package/2006/relationships"><Relationship Id="rId1" Target="../drawings/drawing17.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printerSettings/printerSettings17.bin" Type="http://schemas.openxmlformats.org/officeDocument/2006/relationships/printerSettings"/><Relationship Id="rId3" Target="../drawings/drawing22.xml" Type="http://schemas.openxmlformats.org/officeDocument/2006/relationships/drawing"/><Relationship Id="rId4" Target="../drawings/vmlDrawing6.vml" Type="http://schemas.openxmlformats.org/officeDocument/2006/relationships/vmlDrawing"/><Relationship Id="rId5" Target="../comments6.xml" Type="http://schemas.openxmlformats.org/officeDocument/2006/relationships/comments"/></Relationships>
</file>

<file path=xl/worksheets/_rels/sheet18.xml.rels><?xml version="1.0" encoding="UTF-8" standalone="yes"?><Relationships xmlns="http://schemas.openxmlformats.org/package/2006/relationships"><Relationship Id="rId1" Target="../printerSettings/printerSettings18.bin" Type="http://schemas.openxmlformats.org/officeDocument/2006/relationships/printerSettings"/><Relationship Id="rId2" Target="../printerSettings/printerSettings19.bin" Type="http://schemas.openxmlformats.org/officeDocument/2006/relationships/printerSettings"/><Relationship Id="rId3" Target="../drawings/drawing24.xml" Type="http://schemas.openxmlformats.org/officeDocument/2006/relationships/drawing"/><Relationship Id="rId4" Target="../drawings/vmlDrawing7.vml" Type="http://schemas.openxmlformats.org/officeDocument/2006/relationships/vmlDrawing"/><Relationship Id="rId5" Target="../comments7.xml" Type="http://schemas.openxmlformats.org/officeDocument/2006/relationships/comments"/></Relationships>
</file>

<file path=xl/worksheets/_rels/sheet19.xml.rels><?xml version="1.0" encoding="UTF-8" standalone="yes"?><Relationships xmlns="http://schemas.openxmlformats.org/package/2006/relationships"><Relationship Id="rId1" Target="../printerSettings/printerSettings20.bin" Type="http://schemas.openxmlformats.org/officeDocument/2006/relationships/printerSettings"/></Relationships>
</file>

<file path=xl/worksheets/_rels/sheet21.xml.rels><?xml version="1.0" encoding="UTF-8" standalone="yes"?><Relationships xmlns="http://schemas.openxmlformats.org/package/2006/relationships"><Relationship Id="rId1" Target="../printerSettings/printerSettings21.bin" Type="http://schemas.openxmlformats.org/officeDocument/2006/relationships/printerSettings"/><Relationship Id="rId2" Target="../drawings/drawing26.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printerSettings/printerSettings3.bin" Type="http://schemas.openxmlformats.org/officeDocument/2006/relationships/printerSettings"/><Relationship Id="rId3" Target="../drawings/drawing10.xml" Type="http://schemas.openxmlformats.org/officeDocument/2006/relationships/drawing"/><Relationship Id="rId4" Target="../drawings/vmlDrawing1.vml" Type="http://schemas.openxmlformats.org/officeDocument/2006/relationships/vmlDrawing"/><Relationship Id="rId5" Target="../comments1.xml" Type="http://schemas.openxmlformats.org/officeDocument/2006/relationships/comments"/></Relationships>
</file>

<file path=xl/worksheets/_rels/sheet5.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6.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printerSettings/printerSettings6.bin" Type="http://schemas.openxmlformats.org/officeDocument/2006/relationships/printerSetting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printerSettings/printerSettings8.bin" Type="http://schemas.openxmlformats.org/officeDocument/2006/relationships/printerSettings"/><Relationship Id="rId3" Target="../drawings/drawing12.xml" Type="http://schemas.openxmlformats.org/officeDocument/2006/relationships/drawing"/><Relationship Id="rId4" Target="../drawings/vmlDrawing2.vml" Type="http://schemas.openxmlformats.org/officeDocument/2006/relationships/vmlDrawing"/><Relationship Id="rId5" Target="../comments2.xml" Type="http://schemas.openxmlformats.org/officeDocument/2006/relationships/comments"/></Relationships>
</file>

<file path=xl/worksheets/_rels/sheet8.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printerSettings/printerSettings10.bin" Type="http://schemas.openxmlformats.org/officeDocument/2006/relationships/printerSettings"/></Relationships>
</file>

<file path=xl/worksheets/_rels/sheet9.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vmlDrawing3.vml" Type="http://schemas.openxmlformats.org/officeDocument/2006/relationships/vmlDrawing"/><Relationship Id="rId3" Target="../comments3.xml" Type="http://schemas.openxmlformats.org/officeDocument/2006/relationships/comments"/><Relationship Id="rId4" Target="../threadedComments/threadedComment1.xml" Type="http://schemas.microsoft.com/office/2017/10/relationships/threadedComment"/></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pageSetUpPr fitToPage="1"/>
  </sheetPr>
  <dimension ref="A1:AG165"/>
  <sheetViews>
    <sheetView tabSelected="1" zoomScale="44" zoomScaleNormal="44" zoomScaleSheetLayoutView="20" workbookViewId="0">
      <selection activeCell="Y170" sqref="Y170"/>
    </sheetView>
  </sheetViews>
  <sheetFormatPr defaultRowHeight="13"/>
  <cols>
    <col min="8" max="8" width="9" customWidth="1"/>
    <col min="16" max="16" width="9" customWidth="1"/>
    <col min="18" max="18" width="14.26953125" customWidth="1"/>
  </cols>
  <sheetData>
    <row r="1" spans="1:16">
      <c r="A1" s="1826"/>
      <c r="B1" s="1826"/>
    </row>
    <row r="2" spans="1:16">
      <c r="A2" s="1826"/>
      <c r="B2" s="1826"/>
    </row>
    <row r="5" spans="1:16" ht="15.75" customHeight="1"/>
    <row r="6" spans="1:16" ht="13.5" customHeight="1" thickBot="1">
      <c r="D6" s="217"/>
      <c r="E6" s="217"/>
      <c r="F6" s="217"/>
      <c r="G6" s="217"/>
      <c r="H6" s="217"/>
      <c r="I6" s="217"/>
      <c r="J6" s="217"/>
      <c r="K6" s="217"/>
      <c r="L6" s="217"/>
      <c r="M6" s="216"/>
      <c r="N6" s="216"/>
      <c r="O6" s="216"/>
      <c r="P6" s="216"/>
    </row>
    <row r="7" spans="1:16" ht="13.5" customHeight="1" thickTop="1">
      <c r="B7" s="216"/>
      <c r="C7" s="1827" t="s">
        <v>550</v>
      </c>
      <c r="D7" s="1828"/>
      <c r="E7" s="1828"/>
      <c r="F7" s="1828"/>
      <c r="G7" s="1828"/>
      <c r="H7" s="1828"/>
      <c r="I7" s="1828"/>
      <c r="J7" s="1828"/>
      <c r="K7" s="1828"/>
      <c r="L7" s="1828"/>
      <c r="M7" s="1829"/>
      <c r="P7" s="216"/>
    </row>
    <row r="8" spans="1:16" ht="13.5" customHeight="1">
      <c r="B8" s="216"/>
      <c r="C8" s="1830"/>
      <c r="D8" s="1831"/>
      <c r="E8" s="1831"/>
      <c r="F8" s="1831"/>
      <c r="G8" s="1831"/>
      <c r="H8" s="1831"/>
      <c r="I8" s="1831"/>
      <c r="J8" s="1831"/>
      <c r="K8" s="1831"/>
      <c r="L8" s="1831"/>
      <c r="M8" s="1832"/>
      <c r="P8" s="216"/>
    </row>
    <row r="9" spans="1:16" ht="13.5" customHeight="1">
      <c r="B9" s="216"/>
      <c r="C9" s="1830"/>
      <c r="D9" s="1831"/>
      <c r="E9" s="1831"/>
      <c r="F9" s="1831"/>
      <c r="G9" s="1831"/>
      <c r="H9" s="1831"/>
      <c r="I9" s="1831"/>
      <c r="J9" s="1831"/>
      <c r="K9" s="1831"/>
      <c r="L9" s="1831"/>
      <c r="M9" s="1832"/>
      <c r="P9" s="216"/>
    </row>
    <row r="10" spans="1:16" ht="13.5" customHeight="1">
      <c r="B10" s="216"/>
      <c r="C10" s="1830"/>
      <c r="D10" s="1831"/>
      <c r="E10" s="1831"/>
      <c r="F10" s="1831"/>
      <c r="G10" s="1831"/>
      <c r="H10" s="1831"/>
      <c r="I10" s="1831"/>
      <c r="J10" s="1831"/>
      <c r="K10" s="1831"/>
      <c r="L10" s="1831"/>
      <c r="M10" s="1832"/>
      <c r="P10" s="216"/>
    </row>
    <row r="11" spans="1:16" ht="13.5" customHeight="1">
      <c r="B11" s="216"/>
      <c r="C11" s="1830"/>
      <c r="D11" s="1831"/>
      <c r="E11" s="1831"/>
      <c r="F11" s="1831"/>
      <c r="G11" s="1831"/>
      <c r="H11" s="1831"/>
      <c r="I11" s="1831"/>
      <c r="J11" s="1831"/>
      <c r="K11" s="1831"/>
      <c r="L11" s="1831"/>
      <c r="M11" s="1832"/>
      <c r="P11" s="216"/>
    </row>
    <row r="12" spans="1:16" ht="13.5" customHeight="1">
      <c r="B12" s="216"/>
      <c r="C12" s="1830"/>
      <c r="D12" s="1831"/>
      <c r="E12" s="1831"/>
      <c r="F12" s="1831"/>
      <c r="G12" s="1831"/>
      <c r="H12" s="1831"/>
      <c r="I12" s="1831"/>
      <c r="J12" s="1831"/>
      <c r="K12" s="1831"/>
      <c r="L12" s="1831"/>
      <c r="M12" s="1832"/>
      <c r="P12" s="216"/>
    </row>
    <row r="13" spans="1:16" ht="13.5" customHeight="1">
      <c r="B13" s="216"/>
      <c r="C13" s="1830"/>
      <c r="D13" s="1831"/>
      <c r="E13" s="1831"/>
      <c r="F13" s="1831"/>
      <c r="G13" s="1831"/>
      <c r="H13" s="1831"/>
      <c r="I13" s="1831"/>
      <c r="J13" s="1831"/>
      <c r="K13" s="1831"/>
      <c r="L13" s="1831"/>
      <c r="M13" s="1832"/>
      <c r="P13" s="216"/>
    </row>
    <row r="14" spans="1:16" ht="13.5" customHeight="1">
      <c r="B14" s="216"/>
      <c r="C14" s="1830"/>
      <c r="D14" s="1831"/>
      <c r="E14" s="1831"/>
      <c r="F14" s="1831"/>
      <c r="G14" s="1831"/>
      <c r="H14" s="1831"/>
      <c r="I14" s="1831"/>
      <c r="J14" s="1831"/>
      <c r="K14" s="1831"/>
      <c r="L14" s="1831"/>
      <c r="M14" s="1832"/>
      <c r="P14" s="216"/>
    </row>
    <row r="15" spans="1:16" ht="13.5" customHeight="1">
      <c r="B15" s="216"/>
      <c r="C15" s="1830"/>
      <c r="D15" s="1831"/>
      <c r="E15" s="1831"/>
      <c r="F15" s="1831"/>
      <c r="G15" s="1831"/>
      <c r="H15" s="1831"/>
      <c r="I15" s="1831"/>
      <c r="J15" s="1831"/>
      <c r="K15" s="1831"/>
      <c r="L15" s="1831"/>
      <c r="M15" s="1832"/>
      <c r="P15" s="216"/>
    </row>
    <row r="16" spans="1:16" ht="13.5" customHeight="1">
      <c r="B16" s="216"/>
      <c r="C16" s="1830"/>
      <c r="D16" s="1831"/>
      <c r="E16" s="1831"/>
      <c r="F16" s="1831"/>
      <c r="G16" s="1831"/>
      <c r="H16" s="1831"/>
      <c r="I16" s="1831"/>
      <c r="J16" s="1831"/>
      <c r="K16" s="1831"/>
      <c r="L16" s="1831"/>
      <c r="M16" s="1832"/>
      <c r="P16" s="216"/>
    </row>
    <row r="17" spans="2:16" ht="13.5" customHeight="1">
      <c r="B17" s="216"/>
      <c r="C17" s="1830"/>
      <c r="D17" s="1831"/>
      <c r="E17" s="1831"/>
      <c r="F17" s="1831"/>
      <c r="G17" s="1831"/>
      <c r="H17" s="1831"/>
      <c r="I17" s="1831"/>
      <c r="J17" s="1831"/>
      <c r="K17" s="1831"/>
      <c r="L17" s="1831"/>
      <c r="M17" s="1832"/>
      <c r="P17" s="216"/>
    </row>
    <row r="18" spans="2:16" ht="13.5" customHeight="1">
      <c r="B18" s="216"/>
      <c r="C18" s="1830"/>
      <c r="D18" s="1831"/>
      <c r="E18" s="1831"/>
      <c r="F18" s="1831"/>
      <c r="G18" s="1831"/>
      <c r="H18" s="1831"/>
      <c r="I18" s="1831"/>
      <c r="J18" s="1831"/>
      <c r="K18" s="1831"/>
      <c r="L18" s="1831"/>
      <c r="M18" s="1832"/>
      <c r="P18" s="216"/>
    </row>
    <row r="19" spans="2:16" ht="13.5" customHeight="1">
      <c r="B19" s="216"/>
      <c r="C19" s="1830"/>
      <c r="D19" s="1831"/>
      <c r="E19" s="1831"/>
      <c r="F19" s="1831"/>
      <c r="G19" s="1831"/>
      <c r="H19" s="1831"/>
      <c r="I19" s="1831"/>
      <c r="J19" s="1831"/>
      <c r="K19" s="1831"/>
      <c r="L19" s="1831"/>
      <c r="M19" s="1832"/>
      <c r="P19" s="216"/>
    </row>
    <row r="20" spans="2:16" ht="13.5" customHeight="1">
      <c r="B20" s="216"/>
      <c r="C20" s="1830"/>
      <c r="D20" s="1831"/>
      <c r="E20" s="1831"/>
      <c r="F20" s="1831"/>
      <c r="G20" s="1831"/>
      <c r="H20" s="1831"/>
      <c r="I20" s="1831"/>
      <c r="J20" s="1831"/>
      <c r="K20" s="1831"/>
      <c r="L20" s="1831"/>
      <c r="M20" s="1832"/>
      <c r="P20" s="216"/>
    </row>
    <row r="21" spans="2:16" ht="13.5" customHeight="1">
      <c r="B21" s="216"/>
      <c r="C21" s="1830"/>
      <c r="D21" s="1831"/>
      <c r="E21" s="1831"/>
      <c r="F21" s="1831"/>
      <c r="G21" s="1831"/>
      <c r="H21" s="1831"/>
      <c r="I21" s="1831"/>
      <c r="J21" s="1831"/>
      <c r="K21" s="1831"/>
      <c r="L21" s="1831"/>
      <c r="M21" s="1832"/>
      <c r="P21" s="216"/>
    </row>
    <row r="22" spans="2:16" ht="13.5" customHeight="1" thickBot="1">
      <c r="B22" s="216"/>
      <c r="C22" s="1833"/>
      <c r="D22" s="1834"/>
      <c r="E22" s="1834"/>
      <c r="F22" s="1834"/>
      <c r="G22" s="1834"/>
      <c r="H22" s="1834"/>
      <c r="I22" s="1834"/>
      <c r="J22" s="1834"/>
      <c r="K22" s="1834"/>
      <c r="L22" s="1834"/>
      <c r="M22" s="1835"/>
      <c r="P22" s="216"/>
    </row>
    <row r="23" spans="2:16" ht="13.5" customHeight="1" thickTop="1">
      <c r="C23" t="s">
        <v>542</v>
      </c>
      <c r="D23" s="230"/>
      <c r="E23" s="230"/>
      <c r="F23" s="230"/>
      <c r="G23" s="230"/>
      <c r="H23" s="230"/>
      <c r="I23" s="230"/>
      <c r="J23" s="230"/>
      <c r="K23" s="230"/>
      <c r="L23" s="230"/>
      <c r="M23" s="230"/>
      <c r="N23" s="230"/>
      <c r="O23" s="230"/>
    </row>
    <row r="24" spans="2:16" ht="13.5" customHeight="1">
      <c r="D24" s="230"/>
      <c r="E24" s="230"/>
      <c r="F24" s="230"/>
      <c r="G24" s="230"/>
      <c r="H24" s="230"/>
      <c r="I24" s="230"/>
      <c r="J24" s="230"/>
      <c r="K24" s="230"/>
      <c r="L24" s="230"/>
      <c r="M24" s="230"/>
      <c r="N24" s="230"/>
      <c r="O24" s="230"/>
    </row>
    <row r="28" spans="2:16" ht="13.5" customHeight="1">
      <c r="C28" s="1045"/>
      <c r="D28" s="1045"/>
      <c r="E28" s="1045"/>
      <c r="F28" s="1045"/>
      <c r="G28" s="1045"/>
      <c r="H28" s="1045"/>
      <c r="I28" s="1045"/>
      <c r="J28" s="1044"/>
    </row>
    <row r="29" spans="2:16" ht="13.5" customHeight="1">
      <c r="C29" s="1045"/>
      <c r="D29" s="1045"/>
      <c r="E29" s="1045"/>
      <c r="F29" s="1045"/>
      <c r="G29" s="1045"/>
      <c r="H29" s="1045"/>
      <c r="I29" s="1045"/>
      <c r="J29" s="1044"/>
    </row>
    <row r="30" spans="2:16" ht="13.5" customHeight="1">
      <c r="C30" s="1045"/>
      <c r="D30" s="1045"/>
      <c r="E30" s="1045"/>
      <c r="F30" s="1045"/>
      <c r="G30" s="1045"/>
      <c r="H30" s="1045"/>
      <c r="I30" s="1045"/>
    </row>
    <row r="31" spans="2:16" ht="13.5" customHeight="1">
      <c r="C31" s="1045"/>
      <c r="D31" s="1045"/>
      <c r="E31" s="1045"/>
      <c r="F31" s="1045"/>
      <c r="G31" s="1045"/>
      <c r="H31" s="1045"/>
      <c r="I31" s="1045"/>
    </row>
    <row r="97" spans="1:2" ht="13.5" customHeight="1">
      <c r="A97" s="1585"/>
      <c r="B97" s="1585"/>
    </row>
    <row r="98" spans="1:2" ht="13.5" customHeight="1">
      <c r="A98" s="1585"/>
      <c r="B98" s="1585"/>
    </row>
    <row r="100" spans="1:2" ht="13.5" customHeight="1"/>
    <row r="101" spans="1:2" ht="13.5" customHeight="1"/>
    <row r="102" spans="1:2" ht="14.25" customHeight="1"/>
    <row r="103" spans="1:2" ht="13.5" customHeight="1"/>
    <row r="104" spans="1:2" ht="13.5" customHeight="1"/>
    <row r="105" spans="1:2" ht="13.5" customHeight="1"/>
    <row r="106" spans="1:2" ht="13.5" customHeight="1"/>
    <row r="107" spans="1:2" ht="13.5" customHeight="1"/>
    <row r="108" spans="1:2" ht="13.5" customHeight="1"/>
    <row r="109" spans="1:2" ht="13.5" customHeight="1"/>
    <row r="110" spans="1:2" ht="13.5" customHeight="1"/>
    <row r="111" spans="1:2" ht="13.5" customHeight="1"/>
    <row r="112" spans="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spans="18:33" ht="13.5" customHeight="1"/>
    <row r="130" spans="18:33" ht="14.25" customHeight="1"/>
    <row r="134" spans="18:33" ht="13.5" customHeight="1">
      <c r="AG134" s="6"/>
    </row>
    <row r="135" spans="18:33" ht="13.5" customHeight="1">
      <c r="AG135" s="6"/>
    </row>
    <row r="136" spans="18:33" ht="13.5" customHeight="1">
      <c r="AG136" s="6"/>
    </row>
    <row r="137" spans="18:33" ht="13.5" customHeight="1">
      <c r="R137" s="231"/>
      <c r="AG137" s="47"/>
    </row>
    <row r="138" spans="18:33" ht="13.5" customHeight="1">
      <c r="R138" s="231"/>
      <c r="AG138" s="1553"/>
    </row>
    <row r="139" spans="18:33" ht="13.5" customHeight="1">
      <c r="R139" s="231"/>
      <c r="AG139" s="1553"/>
    </row>
    <row r="140" spans="18:33" ht="13.5" customHeight="1">
      <c r="R140" s="231"/>
      <c r="AG140" s="1553"/>
    </row>
    <row r="141" spans="18:33" ht="13.5" customHeight="1">
      <c r="R141" s="231"/>
      <c r="AG141" s="1553"/>
    </row>
    <row r="142" spans="18:33" ht="13.5" customHeight="1">
      <c r="R142" s="231"/>
      <c r="AG142" s="1553"/>
    </row>
    <row r="143" spans="18:33" ht="13.5" customHeight="1">
      <c r="R143" s="231"/>
      <c r="AG143" s="1166"/>
    </row>
    <row r="144" spans="18:33" ht="13.5" customHeight="1">
      <c r="R144" s="231"/>
      <c r="AG144" s="1166"/>
    </row>
    <row r="145" spans="18:33" ht="13.5" customHeight="1">
      <c r="R145" s="231"/>
      <c r="AG145" s="1166"/>
    </row>
    <row r="146" spans="18:33" ht="13.5" customHeight="1">
      <c r="R146" s="231"/>
      <c r="AG146" s="1166"/>
    </row>
    <row r="147" spans="18:33" ht="13.5" customHeight="1">
      <c r="R147" s="231"/>
      <c r="AG147" s="1166"/>
    </row>
    <row r="148" spans="18:33" ht="13.5" customHeight="1">
      <c r="R148" s="231"/>
      <c r="AG148" s="1166"/>
    </row>
    <row r="149" spans="18:33" ht="13.5" customHeight="1">
      <c r="R149" s="231"/>
      <c r="AG149" s="1166"/>
    </row>
    <row r="150" spans="18:33" ht="13.5" customHeight="1">
      <c r="R150" s="231"/>
      <c r="AG150" s="1166"/>
    </row>
    <row r="151" spans="18:33" ht="13.5" customHeight="1">
      <c r="R151" s="231"/>
      <c r="AG151" s="6"/>
    </row>
    <row r="152" spans="18:33" ht="13.5" customHeight="1">
      <c r="R152" s="231"/>
      <c r="AG152" s="6"/>
    </row>
    <row r="153" spans="18:33" ht="13.5" customHeight="1">
      <c r="R153" s="231"/>
      <c r="AG153" s="1166"/>
    </row>
    <row r="154" spans="18:33" ht="13.5" customHeight="1">
      <c r="R154" s="231"/>
      <c r="AG154" s="1166"/>
    </row>
    <row r="155" spans="18:33" ht="13.5" customHeight="1">
      <c r="R155" s="231"/>
      <c r="AG155" s="1166"/>
    </row>
    <row r="156" spans="18:33" ht="13.5" customHeight="1">
      <c r="R156" s="231"/>
      <c r="AG156" s="1166"/>
    </row>
    <row r="157" spans="18:33" ht="13.5" customHeight="1">
      <c r="R157" s="231"/>
      <c r="AG157" s="1166"/>
    </row>
    <row r="158" spans="18:33" ht="13.5" customHeight="1">
      <c r="R158" s="231"/>
      <c r="AG158" s="1166"/>
    </row>
    <row r="159" spans="18:33" ht="13.5" customHeight="1">
      <c r="R159" s="231"/>
      <c r="AG159" s="1166"/>
    </row>
    <row r="160" spans="18:33" ht="13.5" customHeight="1">
      <c r="R160" s="231"/>
      <c r="AG160" s="1166"/>
    </row>
    <row r="161" spans="18:33" ht="13.5" customHeight="1">
      <c r="R161" s="231"/>
      <c r="AG161" s="1166"/>
    </row>
    <row r="162" spans="18:33" ht="13.5" customHeight="1">
      <c r="R162" s="231"/>
      <c r="AG162" s="1166"/>
    </row>
    <row r="163" spans="18:33" ht="13.5" customHeight="1">
      <c r="AG163" s="1401"/>
    </row>
    <row r="164" spans="18:33" ht="13.5" customHeight="1">
      <c r="AG164" s="1401"/>
    </row>
    <row r="165" spans="18:33" ht="15">
      <c r="S165" s="1401"/>
      <c r="T165" s="1401"/>
      <c r="U165" s="1401"/>
      <c r="V165" s="1401"/>
      <c r="W165" s="1402"/>
      <c r="X165" s="1401"/>
      <c r="Y165" s="1401"/>
      <c r="Z165" s="1401"/>
      <c r="AA165" s="1401"/>
      <c r="AB165" s="1401"/>
      <c r="AC165" s="1401"/>
      <c r="AD165" s="1401"/>
      <c r="AE165" s="1401"/>
      <c r="AF165" s="1401"/>
      <c r="AG165" s="1401"/>
    </row>
  </sheetData>
  <mergeCells count="2">
    <mergeCell ref="A1:B2"/>
    <mergeCell ref="C7:M22"/>
  </mergeCells>
  <phoneticPr fontId="2"/>
  <pageMargins left="0.23622047244094491" right="0.23622047244094491" top="0.15748031496062992" bottom="0.15748031496062992" header="0.31496062992125984" footer="0.31496062992125984"/>
  <pageSetup paperSize="9" scale="34" orientation="portrait" horizontalDpi="300" verticalDpi="3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FF00"/>
  </sheetPr>
  <dimension ref="A1:AM73"/>
  <sheetViews>
    <sheetView zoomScale="80" zoomScaleNormal="80" workbookViewId="0">
      <pane xSplit="3" ySplit="6" topLeftCell="Q21" activePane="bottomRight" state="frozen"/>
      <selection activeCell="AB23" sqref="AB23"/>
      <selection pane="topRight" activeCell="AB23" sqref="AB23"/>
      <selection pane="bottomLeft" activeCell="AB23" sqref="AB23"/>
      <selection pane="bottomRight" activeCell="X12" sqref="X12"/>
    </sheetView>
  </sheetViews>
  <sheetFormatPr defaultColWidth="9" defaultRowHeight="14"/>
  <cols>
    <col min="1" max="1" width="2.81640625" style="412" customWidth="1"/>
    <col min="2" max="2" width="5.6328125" style="412" customWidth="1"/>
    <col min="3" max="3" width="6.6328125" style="412" customWidth="1"/>
    <col min="4" max="5" width="12.08984375" style="412" customWidth="1"/>
    <col min="6" max="7" width="10.26953125" style="412" customWidth="1"/>
    <col min="8" max="8" width="9" style="1365"/>
    <col min="9" max="9" width="6.08984375" style="412" bestFit="1" customWidth="1"/>
    <col min="10" max="10" width="9" style="412"/>
    <col min="11" max="18" width="7.90625" style="412" customWidth="1"/>
    <col min="19" max="23" width="7.90625" style="1248" customWidth="1"/>
    <col min="24" max="24" width="9.6328125" style="412" customWidth="1"/>
    <col min="25" max="25" width="8.36328125" style="412" bestFit="1" customWidth="1"/>
    <col min="26" max="26" width="7.36328125" style="412" customWidth="1"/>
    <col min="27" max="27" width="6.26953125" style="412" customWidth="1"/>
    <col min="28" max="28" width="7.6328125" style="412" customWidth="1"/>
    <col min="29" max="29" width="6.90625" style="412" customWidth="1"/>
    <col min="30" max="30" width="7.36328125" style="412" customWidth="1"/>
    <col min="31" max="32" width="9" style="412"/>
    <col min="33" max="37" width="9" style="1248"/>
    <col min="38" max="16384" width="9" style="412"/>
  </cols>
  <sheetData>
    <row r="1" spans="2:39">
      <c r="B1" s="403"/>
      <c r="C1" s="403"/>
      <c r="D1" s="403"/>
      <c r="E1" s="403"/>
      <c r="F1" s="403"/>
      <c r="G1" s="403"/>
      <c r="L1" s="403"/>
      <c r="N1" s="581"/>
      <c r="O1" s="581"/>
      <c r="P1" s="581"/>
      <c r="Q1" s="581"/>
      <c r="R1" s="581"/>
      <c r="S1" s="1296"/>
      <c r="T1" s="1296"/>
      <c r="U1" s="1296"/>
      <c r="V1" s="1296"/>
      <c r="W1" s="1296"/>
      <c r="X1" s="581"/>
      <c r="Z1" s="403"/>
      <c r="AB1" s="581"/>
      <c r="AC1" s="581"/>
    </row>
    <row r="2" spans="2:39" ht="23">
      <c r="B2" s="1890" t="s">
        <v>219</v>
      </c>
      <c r="C2" s="1890"/>
      <c r="D2" s="1890"/>
      <c r="E2" s="1890"/>
      <c r="F2" s="414"/>
      <c r="G2" s="414"/>
      <c r="L2" s="1766"/>
      <c r="M2" s="581"/>
      <c r="N2" s="581"/>
      <c r="O2" s="581"/>
      <c r="P2" s="581"/>
      <c r="Q2" s="581"/>
      <c r="R2" s="581"/>
      <c r="S2" s="1296"/>
      <c r="T2" s="1296"/>
      <c r="U2" s="1296"/>
      <c r="V2" s="1296"/>
      <c r="W2" s="1296"/>
      <c r="X2" s="581"/>
      <c r="Z2" s="1766"/>
      <c r="AA2" s="855"/>
      <c r="AB2" s="581"/>
      <c r="AC2" s="581"/>
    </row>
    <row r="3" spans="2:39" ht="25.5">
      <c r="B3" s="417"/>
      <c r="C3" s="403"/>
      <c r="D3" s="566"/>
      <c r="E3" s="566"/>
      <c r="F3" s="582"/>
      <c r="G3" s="582"/>
      <c r="J3" s="912" t="s">
        <v>544</v>
      </c>
      <c r="K3" s="855"/>
      <c r="L3" s="1325"/>
      <c r="M3" s="1325"/>
      <c r="N3" s="1325"/>
      <c r="O3" s="1325"/>
      <c r="P3" s="1325"/>
      <c r="Q3" s="1325"/>
      <c r="R3" s="1325"/>
      <c r="S3" s="1325"/>
      <c r="T3" s="1325"/>
      <c r="U3" s="1325"/>
      <c r="V3" s="1325"/>
      <c r="W3" s="1325"/>
      <c r="X3" s="1767"/>
      <c r="Y3" s="1325"/>
      <c r="Z3" s="1325"/>
      <c r="AA3" s="1325"/>
      <c r="AB3" s="1325"/>
      <c r="AC3" s="1325"/>
      <c r="AD3" s="1325"/>
      <c r="AE3" s="1325"/>
      <c r="AF3" s="1325"/>
      <c r="AG3" s="1325"/>
      <c r="AH3" s="1325"/>
      <c r="AI3" s="1325"/>
      <c r="AJ3" s="1325"/>
      <c r="AK3" s="1325"/>
      <c r="AL3" s="1767"/>
    </row>
    <row r="4" spans="2:39" ht="18" customHeight="1" thickBot="1">
      <c r="B4" s="1265"/>
      <c r="C4" s="1265"/>
      <c r="D4" s="1940" t="s">
        <v>468</v>
      </c>
      <c r="E4" s="1941" t="s">
        <v>469</v>
      </c>
      <c r="F4" s="1940" t="s">
        <v>470</v>
      </c>
      <c r="G4" s="1941" t="s">
        <v>471</v>
      </c>
      <c r="I4" s="583"/>
      <c r="J4" s="584"/>
      <c r="K4" s="909"/>
      <c r="L4" s="909"/>
      <c r="M4" s="909"/>
      <c r="N4" s="909"/>
      <c r="O4" s="909"/>
      <c r="P4" s="909"/>
      <c r="Q4" s="909"/>
      <c r="R4" s="909"/>
      <c r="S4" s="1333"/>
      <c r="T4" s="1333"/>
      <c r="U4" s="1333"/>
      <c r="V4" s="1333"/>
      <c r="W4" s="1333"/>
      <c r="X4" s="909"/>
      <c r="Y4" s="855"/>
      <c r="Z4" s="855"/>
      <c r="AA4" s="855"/>
      <c r="AB4" s="855"/>
      <c r="AC4" s="855"/>
      <c r="AD4" s="855"/>
      <c r="AM4" s="426"/>
    </row>
    <row r="5" spans="2:39" ht="15.75" customHeight="1" thickBot="1">
      <c r="B5" s="1265"/>
      <c r="C5" s="1265"/>
      <c r="D5" s="1940"/>
      <c r="E5" s="1941"/>
      <c r="F5" s="1940"/>
      <c r="G5" s="1941"/>
      <c r="I5" s="404"/>
      <c r="J5" s="420"/>
      <c r="K5" s="1937" t="s">
        <v>220</v>
      </c>
      <c r="L5" s="1938"/>
      <c r="M5" s="1938"/>
      <c r="N5" s="1938"/>
      <c r="O5" s="1938"/>
      <c r="P5" s="1938"/>
      <c r="Q5" s="1938"/>
      <c r="R5" s="1938"/>
      <c r="S5" s="1938"/>
      <c r="T5" s="1938"/>
      <c r="U5" s="1938"/>
      <c r="V5" s="1938"/>
      <c r="W5" s="1938"/>
      <c r="X5" s="1939"/>
      <c r="Y5" s="1934" t="s">
        <v>221</v>
      </c>
      <c r="Z5" s="1935"/>
      <c r="AA5" s="1935"/>
      <c r="AB5" s="1935"/>
      <c r="AC5" s="1935"/>
      <c r="AD5" s="1935"/>
      <c r="AE5" s="1935"/>
      <c r="AF5" s="1935"/>
      <c r="AG5" s="1935"/>
      <c r="AH5" s="1935"/>
      <c r="AI5" s="1935"/>
      <c r="AJ5" s="1935"/>
      <c r="AK5" s="1935"/>
      <c r="AL5" s="1936"/>
      <c r="AM5" s="426"/>
    </row>
    <row r="6" spans="2:39" s="1400" customFormat="1" ht="15.75" customHeight="1" thickBot="1">
      <c r="B6" s="1309"/>
      <c r="C6" s="1309"/>
      <c r="D6" s="1560">
        <f>X6</f>
        <v>2026</v>
      </c>
      <c r="E6" s="1561">
        <f>AL6</f>
        <v>2026</v>
      </c>
      <c r="F6" s="1560" t="s">
        <v>479</v>
      </c>
      <c r="G6" s="1561" t="s">
        <v>479</v>
      </c>
      <c r="H6" s="1765"/>
      <c r="I6" s="1279"/>
      <c r="J6" s="1288"/>
      <c r="K6" s="1616">
        <v>2013</v>
      </c>
      <c r="L6" s="1617">
        <v>2014</v>
      </c>
      <c r="M6" s="1617">
        <v>2015</v>
      </c>
      <c r="N6" s="1617">
        <v>2016</v>
      </c>
      <c r="O6" s="1617">
        <v>2017</v>
      </c>
      <c r="P6" s="1617">
        <v>2018</v>
      </c>
      <c r="Q6" s="1618">
        <v>2019</v>
      </c>
      <c r="R6" s="1617">
        <v>2020</v>
      </c>
      <c r="S6" s="1619">
        <v>2021</v>
      </c>
      <c r="T6" s="1620">
        <v>2022</v>
      </c>
      <c r="U6" s="1620">
        <v>2023</v>
      </c>
      <c r="V6" s="1620">
        <v>2024</v>
      </c>
      <c r="W6" s="1620">
        <v>2025</v>
      </c>
      <c r="X6" s="1512">
        <v>2026</v>
      </c>
      <c r="Y6" s="1621">
        <v>2013</v>
      </c>
      <c r="Z6" s="1622">
        <v>2014</v>
      </c>
      <c r="AA6" s="1619">
        <v>2015</v>
      </c>
      <c r="AB6" s="1622">
        <v>2016</v>
      </c>
      <c r="AC6" s="1623">
        <v>2017</v>
      </c>
      <c r="AD6" s="1624">
        <v>2018</v>
      </c>
      <c r="AE6" s="1624">
        <v>2019</v>
      </c>
      <c r="AF6" s="1625">
        <v>2020</v>
      </c>
      <c r="AG6" s="1625">
        <v>2021</v>
      </c>
      <c r="AH6" s="1626">
        <v>2022</v>
      </c>
      <c r="AI6" s="1626">
        <v>2023</v>
      </c>
      <c r="AJ6" s="1626">
        <v>2024</v>
      </c>
      <c r="AK6" s="1626">
        <v>2025</v>
      </c>
      <c r="AL6" s="1506">
        <v>2026</v>
      </c>
    </row>
    <row r="7" spans="2:39">
      <c r="B7" s="1942" t="s">
        <v>191</v>
      </c>
      <c r="C7" s="1309" t="s">
        <v>189</v>
      </c>
      <c r="D7" s="1090">
        <f t="shared" ref="D7:D38" si="0">X7</f>
        <v>0.5</v>
      </c>
      <c r="E7" s="1090">
        <f>AL7</f>
        <v>18</v>
      </c>
      <c r="F7" s="1611" t="e">
        <f ca="1">AVERAGE(OFFSET(K7,0,$D$6-2013-1,1,-10))</f>
        <v>#N/A</v>
      </c>
      <c r="G7" s="1611" t="e">
        <f ca="1">AVERAGE(OFFSET(Y7,0,$E$6-2013-1,1,-10))</f>
        <v>#N/A</v>
      </c>
      <c r="I7" s="408"/>
      <c r="J7" s="484" t="s">
        <v>300</v>
      </c>
      <c r="K7" s="1108"/>
      <c r="L7" s="585"/>
      <c r="M7" s="585"/>
      <c r="N7" s="585"/>
      <c r="O7" s="1111"/>
      <c r="P7" s="1099"/>
      <c r="Q7" s="1099">
        <v>0</v>
      </c>
      <c r="R7" s="585"/>
      <c r="S7" s="585"/>
      <c r="T7" s="1398"/>
      <c r="U7" s="585" t="e">
        <v>#N/A</v>
      </c>
      <c r="V7" s="585">
        <v>0.25</v>
      </c>
      <c r="W7" s="1398">
        <v>0.36</v>
      </c>
      <c r="X7" s="1513">
        <f>黄色IT野帳!Q11</f>
        <v>0.5</v>
      </c>
      <c r="Y7" s="1121"/>
      <c r="Z7" s="1122"/>
      <c r="AA7" s="1026"/>
      <c r="AB7" s="1026"/>
      <c r="AC7" s="1123"/>
      <c r="AD7" s="1124"/>
      <c r="AE7" s="1099">
        <v>0</v>
      </c>
      <c r="AF7" s="585"/>
      <c r="AG7" s="585"/>
      <c r="AH7" s="1554"/>
      <c r="AI7" s="1554" t="e">
        <v>#N/A</v>
      </c>
      <c r="AJ7" s="1554">
        <v>0</v>
      </c>
      <c r="AK7" s="1554">
        <v>0.14000000000000001</v>
      </c>
      <c r="AL7" s="1100">
        <f>黄色IT野帳!S11</f>
        <v>18</v>
      </c>
    </row>
    <row r="8" spans="2:39">
      <c r="B8" s="1943"/>
      <c r="C8" s="1309" t="s">
        <v>190</v>
      </c>
      <c r="D8" s="1090">
        <f t="shared" si="0"/>
        <v>0.25</v>
      </c>
      <c r="E8" s="1090">
        <f t="shared" ref="E8:E60" si="1">AL8</f>
        <v>0</v>
      </c>
      <c r="F8" s="1611" t="e">
        <f t="shared" ref="F8:F60" ca="1" si="2">AVERAGE(OFFSET(K8,0,$D$6-2013-1,1,-10))</f>
        <v>#N/A</v>
      </c>
      <c r="G8" s="1611" t="e">
        <f t="shared" ref="G8:G60" ca="1" si="3">AVERAGE(OFFSET(Y8,0,$E$6-2013-1,1,-10))</f>
        <v>#N/A</v>
      </c>
      <c r="I8" s="408"/>
      <c r="J8" s="491" t="s">
        <v>301</v>
      </c>
      <c r="K8" s="1034"/>
      <c r="L8" s="586"/>
      <c r="M8" s="586"/>
      <c r="N8" s="586"/>
      <c r="O8" s="889"/>
      <c r="P8" s="1003"/>
      <c r="Q8" s="1003">
        <v>0.3</v>
      </c>
      <c r="R8" s="1090"/>
      <c r="S8" s="1613"/>
      <c r="T8" s="1507"/>
      <c r="U8" s="1613" t="e">
        <v>#N/A</v>
      </c>
      <c r="V8" s="1613">
        <v>0</v>
      </c>
      <c r="W8" s="1507">
        <v>0</v>
      </c>
      <c r="X8" s="1514">
        <f>黄色IT野帳!Q16</f>
        <v>0.25</v>
      </c>
      <c r="Y8" s="1005"/>
      <c r="Z8" s="1006"/>
      <c r="AA8" s="1004"/>
      <c r="AB8" s="1004"/>
      <c r="AC8" s="1007"/>
      <c r="AD8" s="1009"/>
      <c r="AE8" s="1003">
        <v>2</v>
      </c>
      <c r="AF8" s="1090"/>
      <c r="AG8" s="1613"/>
      <c r="AH8" s="1555"/>
      <c r="AI8" s="1555" t="e">
        <v>#N/A</v>
      </c>
      <c r="AJ8" s="1555">
        <v>0</v>
      </c>
      <c r="AK8" s="1555">
        <v>0</v>
      </c>
      <c r="AL8" s="1101">
        <f>黄色IT野帳!S16</f>
        <v>0</v>
      </c>
    </row>
    <row r="9" spans="2:39">
      <c r="B9" s="1943"/>
      <c r="C9" s="1309" t="s">
        <v>192</v>
      </c>
      <c r="D9" s="1090">
        <f t="shared" si="0"/>
        <v>0</v>
      </c>
      <c r="E9" s="1090">
        <f t="shared" si="1"/>
        <v>0</v>
      </c>
      <c r="F9" s="1611" t="e">
        <f t="shared" ca="1" si="2"/>
        <v>#N/A</v>
      </c>
      <c r="G9" s="1611" t="e">
        <f t="shared" ca="1" si="3"/>
        <v>#N/A</v>
      </c>
      <c r="I9" s="408" t="s">
        <v>286</v>
      </c>
      <c r="J9" s="491" t="s">
        <v>302</v>
      </c>
      <c r="K9" s="1034"/>
      <c r="L9" s="586"/>
      <c r="M9" s="586"/>
      <c r="N9" s="586"/>
      <c r="O9" s="889"/>
      <c r="P9" s="1003"/>
      <c r="Q9" s="1003">
        <v>7.0000000000000007E-2</v>
      </c>
      <c r="R9" s="1090"/>
      <c r="S9" s="1613"/>
      <c r="T9" s="1507">
        <v>1</v>
      </c>
      <c r="U9" s="1613" t="e">
        <v>#N/A</v>
      </c>
      <c r="V9" s="1613">
        <v>1</v>
      </c>
      <c r="W9" s="1507">
        <v>1.61</v>
      </c>
      <c r="X9" s="1514">
        <f>黄色IT野帳!Q21</f>
        <v>0</v>
      </c>
      <c r="Y9" s="1005"/>
      <c r="Z9" s="1006"/>
      <c r="AA9" s="1004"/>
      <c r="AB9" s="1004"/>
      <c r="AC9" s="1007"/>
      <c r="AD9" s="1009"/>
      <c r="AE9" s="1003">
        <v>5.34</v>
      </c>
      <c r="AF9" s="1090"/>
      <c r="AG9" s="1613"/>
      <c r="AH9" s="1555">
        <v>113.75</v>
      </c>
      <c r="AI9" s="1555" t="e">
        <v>#N/A</v>
      </c>
      <c r="AJ9" s="1555">
        <v>28.5</v>
      </c>
      <c r="AK9" s="1555">
        <v>0.54</v>
      </c>
      <c r="AL9" s="1101">
        <f>黄色IT野帳!S21</f>
        <v>0</v>
      </c>
    </row>
    <row r="10" spans="2:39">
      <c r="B10" s="1943"/>
      <c r="C10" s="1309" t="s">
        <v>193</v>
      </c>
      <c r="D10" s="1090">
        <f t="shared" si="0"/>
        <v>0.17857142857142858</v>
      </c>
      <c r="E10" s="1090">
        <f t="shared" si="1"/>
        <v>9.6428571428571423</v>
      </c>
      <c r="F10" s="1611" t="e">
        <f t="shared" ca="1" si="2"/>
        <v>#N/A</v>
      </c>
      <c r="G10" s="1611" t="e">
        <f t="shared" ca="1" si="3"/>
        <v>#N/A</v>
      </c>
      <c r="I10" s="408"/>
      <c r="J10" s="491" t="s">
        <v>303</v>
      </c>
      <c r="K10" s="1034"/>
      <c r="L10" s="586"/>
      <c r="M10" s="586"/>
      <c r="N10" s="586"/>
      <c r="O10" s="893">
        <v>0</v>
      </c>
      <c r="P10" s="1010">
        <v>0</v>
      </c>
      <c r="Q10" s="1030">
        <v>0.35</v>
      </c>
      <c r="R10" s="1091"/>
      <c r="S10" s="1102"/>
      <c r="T10" s="1508">
        <v>0</v>
      </c>
      <c r="U10" s="1102" t="e">
        <v>#N/A</v>
      </c>
      <c r="V10" s="1102">
        <v>0</v>
      </c>
      <c r="W10" s="1508">
        <v>0.64</v>
      </c>
      <c r="X10" s="1515">
        <f>黄色IT野帳!Q26</f>
        <v>0.17857142857142858</v>
      </c>
      <c r="Y10" s="1005"/>
      <c r="Z10" s="1006"/>
      <c r="AA10" s="1004"/>
      <c r="AB10" s="1004"/>
      <c r="AC10" s="1011">
        <v>5.5</v>
      </c>
      <c r="AD10" s="1009">
        <v>7.9</v>
      </c>
      <c r="AE10" s="1030">
        <v>25.3</v>
      </c>
      <c r="AF10" s="1091"/>
      <c r="AG10" s="1102"/>
      <c r="AH10" s="1556">
        <v>55.75</v>
      </c>
      <c r="AI10" s="1556" t="e">
        <v>#N/A</v>
      </c>
      <c r="AJ10" s="1556">
        <v>0</v>
      </c>
      <c r="AK10" s="1556">
        <v>0.21</v>
      </c>
      <c r="AL10" s="1105">
        <f>黄色IT野帳!S26</f>
        <v>9.6428571428571423</v>
      </c>
    </row>
    <row r="11" spans="2:39">
      <c r="B11" s="1943"/>
      <c r="C11" s="1309" t="s">
        <v>194</v>
      </c>
      <c r="D11" s="1090">
        <f t="shared" si="0"/>
        <v>0.3214285714285714</v>
      </c>
      <c r="E11" s="1090">
        <f t="shared" si="1"/>
        <v>22.857142857142858</v>
      </c>
      <c r="F11" s="1611">
        <f t="shared" ca="1" si="2"/>
        <v>0.72444444444444445</v>
      </c>
      <c r="G11" s="1611">
        <f t="shared" ca="1" si="3"/>
        <v>46.716111111111111</v>
      </c>
      <c r="I11" s="408"/>
      <c r="J11" s="491" t="s">
        <v>304</v>
      </c>
      <c r="K11" s="1034"/>
      <c r="L11" s="586"/>
      <c r="M11" s="586">
        <v>0</v>
      </c>
      <c r="N11" s="810">
        <v>0.33</v>
      </c>
      <c r="O11" s="894">
        <v>0.2</v>
      </c>
      <c r="P11" s="1012">
        <v>0.25</v>
      </c>
      <c r="Q11" s="1030">
        <v>0.82</v>
      </c>
      <c r="R11" s="1091"/>
      <c r="S11" s="1102">
        <v>0</v>
      </c>
      <c r="T11" s="1508">
        <v>0.5</v>
      </c>
      <c r="U11" s="1102">
        <v>1.67</v>
      </c>
      <c r="V11" s="1102">
        <v>0</v>
      </c>
      <c r="W11" s="1508">
        <v>2.75</v>
      </c>
      <c r="X11" s="1515">
        <f>黄色IT野帳!Q31</f>
        <v>0.3214285714285714</v>
      </c>
      <c r="Y11" s="1005"/>
      <c r="Z11" s="1006"/>
      <c r="AA11" s="1004">
        <v>114.271</v>
      </c>
      <c r="AB11" s="1013">
        <v>49.375</v>
      </c>
      <c r="AC11" s="1014">
        <v>20.5</v>
      </c>
      <c r="AD11" s="1009">
        <v>13.9</v>
      </c>
      <c r="AE11" s="1030">
        <v>6.1</v>
      </c>
      <c r="AF11" s="1091"/>
      <c r="AG11" s="1102">
        <v>60.94</v>
      </c>
      <c r="AH11" s="1556">
        <v>4</v>
      </c>
      <c r="AI11" s="1556">
        <v>9.3800000000000008</v>
      </c>
      <c r="AJ11" s="1556">
        <v>0.25</v>
      </c>
      <c r="AK11" s="1556">
        <v>256</v>
      </c>
      <c r="AL11" s="1105">
        <f>黄色IT野帳!S31</f>
        <v>22.857142857142858</v>
      </c>
    </row>
    <row r="12" spans="2:39" ht="14.5" thickBot="1">
      <c r="B12" s="1944"/>
      <c r="C12" s="1309" t="s">
        <v>195</v>
      </c>
      <c r="D12" s="1090">
        <f t="shared" si="0"/>
        <v>2.1428571428571428</v>
      </c>
      <c r="E12" s="1090">
        <f t="shared" si="1"/>
        <v>42.142857142857146</v>
      </c>
      <c r="F12" s="1611">
        <f t="shared" ca="1" si="2"/>
        <v>1.5155555555555555</v>
      </c>
      <c r="G12" s="1611">
        <f t="shared" ca="1" si="3"/>
        <v>82.478888888888889</v>
      </c>
      <c r="I12" s="472"/>
      <c r="J12" s="509" t="s">
        <v>305</v>
      </c>
      <c r="K12" s="1035"/>
      <c r="L12" s="587">
        <v>2.4300000000000002</v>
      </c>
      <c r="M12" s="587">
        <v>0.25</v>
      </c>
      <c r="N12" s="811">
        <v>0.26</v>
      </c>
      <c r="O12" s="891">
        <v>0.3</v>
      </c>
      <c r="P12" s="1015">
        <v>0.5</v>
      </c>
      <c r="Q12" s="1031">
        <v>0.75</v>
      </c>
      <c r="R12" s="1106"/>
      <c r="S12" s="1614">
        <v>5.25</v>
      </c>
      <c r="T12" s="1509">
        <v>1.25</v>
      </c>
      <c r="U12" s="1614">
        <v>0.57999999999999996</v>
      </c>
      <c r="V12" s="1614">
        <v>1.5</v>
      </c>
      <c r="W12" s="1509">
        <v>3.25</v>
      </c>
      <c r="X12" s="1516">
        <f>黄色IT野帳!Q37</f>
        <v>2.1428571428571428</v>
      </c>
      <c r="Y12" s="1016"/>
      <c r="Z12" s="1017">
        <v>48.4375</v>
      </c>
      <c r="AA12" s="1018">
        <v>256</v>
      </c>
      <c r="AB12" s="1019">
        <v>137.47999999999999</v>
      </c>
      <c r="AC12" s="1020">
        <v>49.9</v>
      </c>
      <c r="AD12" s="1021">
        <v>122.8</v>
      </c>
      <c r="AE12" s="1112">
        <v>27.25</v>
      </c>
      <c r="AF12" s="1106"/>
      <c r="AG12" s="1106">
        <v>167.5</v>
      </c>
      <c r="AH12" s="1557">
        <v>50</v>
      </c>
      <c r="AI12" s="1557">
        <v>22.13</v>
      </c>
      <c r="AJ12" s="1557">
        <v>88.5</v>
      </c>
      <c r="AK12" s="1557">
        <v>76.75</v>
      </c>
      <c r="AL12" s="1113">
        <f>黄色IT野帳!S37</f>
        <v>42.142857142857146</v>
      </c>
    </row>
    <row r="13" spans="2:39">
      <c r="B13" s="1942" t="s">
        <v>196</v>
      </c>
      <c r="C13" s="1309" t="s">
        <v>189</v>
      </c>
      <c r="D13" s="1090">
        <f t="shared" si="0"/>
        <v>1.25</v>
      </c>
      <c r="E13" s="1090">
        <f t="shared" si="1"/>
        <v>16.5</v>
      </c>
      <c r="F13" s="1611">
        <f ca="1">AVERAGE(OFFSET(K13,0,$D$6-2013-1,1,-10))</f>
        <v>1.2970000000000002</v>
      </c>
      <c r="G13" s="1611">
        <f t="shared" ca="1" si="3"/>
        <v>35.331000000000003</v>
      </c>
      <c r="I13" s="434"/>
      <c r="J13" s="484" t="s">
        <v>300</v>
      </c>
      <c r="K13" s="1108">
        <v>3.4</v>
      </c>
      <c r="L13" s="585">
        <v>1.54</v>
      </c>
      <c r="M13" s="585">
        <v>0.48609999999999998</v>
      </c>
      <c r="N13" s="1109">
        <v>0.38</v>
      </c>
      <c r="O13" s="1110">
        <v>0</v>
      </c>
      <c r="P13" s="1025">
        <v>1.3</v>
      </c>
      <c r="Q13" s="1032">
        <v>1.41</v>
      </c>
      <c r="R13" s="1103">
        <v>3</v>
      </c>
      <c r="S13" s="1103">
        <v>2.75</v>
      </c>
      <c r="T13" s="1510">
        <v>0.5</v>
      </c>
      <c r="U13" s="1103">
        <v>0.75</v>
      </c>
      <c r="V13" s="1103">
        <v>2.25</v>
      </c>
      <c r="W13" s="1510">
        <v>0.63</v>
      </c>
      <c r="X13" s="1517">
        <f>黄色IT野帳!Q52</f>
        <v>1.25</v>
      </c>
      <c r="Y13" s="1121">
        <v>100</v>
      </c>
      <c r="Z13" s="1122">
        <v>26.75</v>
      </c>
      <c r="AA13" s="1026">
        <v>43.33</v>
      </c>
      <c r="AB13" s="1125">
        <v>113</v>
      </c>
      <c r="AC13" s="1126">
        <v>44.4</v>
      </c>
      <c r="AD13" s="1124">
        <v>42.9</v>
      </c>
      <c r="AE13" s="1032">
        <v>35.630000000000003</v>
      </c>
      <c r="AF13" s="1103">
        <v>12</v>
      </c>
      <c r="AG13" s="1103">
        <v>6.25</v>
      </c>
      <c r="AH13" s="1558">
        <v>20</v>
      </c>
      <c r="AI13" s="1558">
        <v>2.5</v>
      </c>
      <c r="AJ13" s="1558">
        <v>52.25</v>
      </c>
      <c r="AK13" s="1558">
        <v>24.38</v>
      </c>
      <c r="AL13" s="1104">
        <f>黄色IT野帳!S52</f>
        <v>16.5</v>
      </c>
    </row>
    <row r="14" spans="2:39">
      <c r="B14" s="1943"/>
      <c r="C14" s="1309" t="s">
        <v>190</v>
      </c>
      <c r="D14" s="1090">
        <f t="shared" si="0"/>
        <v>1.9642857142857142</v>
      </c>
      <c r="E14" s="1090">
        <f t="shared" si="1"/>
        <v>8.0357142857142865</v>
      </c>
      <c r="F14" s="1611">
        <f t="shared" ca="1" si="2"/>
        <v>0.98100000000000009</v>
      </c>
      <c r="G14" s="1611">
        <f t="shared" ca="1" si="3"/>
        <v>25.943999999999999</v>
      </c>
      <c r="I14" s="490"/>
      <c r="J14" s="491" t="s">
        <v>301</v>
      </c>
      <c r="K14" s="1034">
        <v>1.61</v>
      </c>
      <c r="L14" s="586">
        <v>2.46</v>
      </c>
      <c r="M14" s="586">
        <v>0.43099999999999999</v>
      </c>
      <c r="N14" s="812">
        <v>1.6</v>
      </c>
      <c r="O14" s="890">
        <v>0.1</v>
      </c>
      <c r="P14" s="1022">
        <v>1.7</v>
      </c>
      <c r="Q14" s="1030">
        <v>0.84</v>
      </c>
      <c r="R14" s="1091">
        <v>0.36</v>
      </c>
      <c r="S14" s="1102">
        <v>0.83</v>
      </c>
      <c r="T14" s="1508">
        <v>1.25</v>
      </c>
      <c r="U14" s="1102">
        <v>0.75</v>
      </c>
      <c r="V14" s="1102">
        <v>0</v>
      </c>
      <c r="W14" s="1508">
        <v>2.38</v>
      </c>
      <c r="X14" s="1515">
        <f>黄色IT野帳!Q57</f>
        <v>1.9642857142857142</v>
      </c>
      <c r="Y14" s="1005">
        <v>38.5</v>
      </c>
      <c r="Z14" s="1006">
        <v>30.375</v>
      </c>
      <c r="AA14" s="1004">
        <v>21.542000000000002</v>
      </c>
      <c r="AB14" s="1013">
        <v>81.599999999999994</v>
      </c>
      <c r="AC14" s="1014">
        <v>50.1</v>
      </c>
      <c r="AD14" s="1009">
        <v>0.8</v>
      </c>
      <c r="AE14" s="1030">
        <v>21.38</v>
      </c>
      <c r="AF14" s="1091">
        <v>0</v>
      </c>
      <c r="AG14" s="1102">
        <v>5.43</v>
      </c>
      <c r="AH14" s="1556">
        <v>44.5</v>
      </c>
      <c r="AI14" s="1556">
        <v>2.25</v>
      </c>
      <c r="AJ14" s="1556">
        <v>1.75</v>
      </c>
      <c r="AK14" s="1556">
        <v>51.63</v>
      </c>
      <c r="AL14" s="1105">
        <f>黄色IT野帳!S57</f>
        <v>8.0357142857142865</v>
      </c>
    </row>
    <row r="15" spans="2:39">
      <c r="B15" s="1943"/>
      <c r="C15" s="1309" t="s">
        <v>192</v>
      </c>
      <c r="D15" s="1090">
        <f t="shared" si="0"/>
        <v>2.0833333333333335</v>
      </c>
      <c r="E15" s="1090">
        <f t="shared" si="1"/>
        <v>2.9166666666666665</v>
      </c>
      <c r="F15" s="1611">
        <f t="shared" ca="1" si="2"/>
        <v>0.85599999999999987</v>
      </c>
      <c r="G15" s="1611">
        <f t="shared" ca="1" si="3"/>
        <v>9.3925000000000001</v>
      </c>
      <c r="I15" s="490" t="s">
        <v>287</v>
      </c>
      <c r="J15" s="491" t="s">
        <v>302</v>
      </c>
      <c r="K15" s="1034">
        <v>1.2</v>
      </c>
      <c r="L15" s="586">
        <v>0.83</v>
      </c>
      <c r="M15" s="586">
        <v>0.16700000000000001</v>
      </c>
      <c r="N15" s="812">
        <v>1.1000000000000001</v>
      </c>
      <c r="O15" s="890">
        <v>0.4</v>
      </c>
      <c r="P15" s="1022">
        <v>0.5</v>
      </c>
      <c r="Q15" s="1030">
        <v>0.25</v>
      </c>
      <c r="R15" s="1091">
        <v>1.1399999999999999</v>
      </c>
      <c r="S15" s="1102">
        <v>1.17</v>
      </c>
      <c r="T15" s="1508">
        <v>0.75</v>
      </c>
      <c r="U15" s="1102">
        <v>1.5</v>
      </c>
      <c r="V15" s="1102">
        <v>1</v>
      </c>
      <c r="W15" s="1508">
        <v>0.75</v>
      </c>
      <c r="X15" s="1515">
        <f>黄色IT野帳!Q62</f>
        <v>2.0833333333333335</v>
      </c>
      <c r="Y15" s="1005">
        <v>16.62</v>
      </c>
      <c r="Z15" s="1006">
        <v>10</v>
      </c>
      <c r="AA15" s="1004">
        <v>0.25</v>
      </c>
      <c r="AB15" s="1013">
        <v>9</v>
      </c>
      <c r="AC15" s="1014">
        <v>12.1</v>
      </c>
      <c r="AD15" s="1009">
        <v>1.5</v>
      </c>
      <c r="AE15" s="1030">
        <v>4.25</v>
      </c>
      <c r="AF15" s="1091">
        <v>0.5</v>
      </c>
      <c r="AG15" s="1102">
        <v>4.0750000000000002</v>
      </c>
      <c r="AH15" s="1556">
        <v>8</v>
      </c>
      <c r="AI15" s="1556">
        <v>1</v>
      </c>
      <c r="AJ15" s="1556">
        <v>12.75</v>
      </c>
      <c r="AK15" s="1556">
        <v>40.75</v>
      </c>
      <c r="AL15" s="1105">
        <f>黄色IT野帳!S62</f>
        <v>2.9166666666666665</v>
      </c>
    </row>
    <row r="16" spans="2:39">
      <c r="B16" s="1943"/>
      <c r="C16" s="1309" t="s">
        <v>193</v>
      </c>
      <c r="D16" s="1090">
        <f t="shared" si="0"/>
        <v>3</v>
      </c>
      <c r="E16" s="1090">
        <f t="shared" si="1"/>
        <v>1.75</v>
      </c>
      <c r="F16" s="1611">
        <f t="shared" ca="1" si="2"/>
        <v>1.1460000000000001</v>
      </c>
      <c r="G16" s="1611">
        <f t="shared" ca="1" si="3"/>
        <v>5.798</v>
      </c>
      <c r="I16" s="490"/>
      <c r="J16" s="491" t="s">
        <v>303</v>
      </c>
      <c r="K16" s="1034">
        <v>6.45</v>
      </c>
      <c r="L16" s="586">
        <v>2.44</v>
      </c>
      <c r="M16" s="586">
        <v>0.16600000000000001</v>
      </c>
      <c r="N16" s="812">
        <v>1.1000000000000001</v>
      </c>
      <c r="O16" s="890">
        <v>0.4</v>
      </c>
      <c r="P16" s="1022">
        <v>0</v>
      </c>
      <c r="Q16" s="1030">
        <v>2.71</v>
      </c>
      <c r="R16" s="1091">
        <v>0</v>
      </c>
      <c r="S16" s="1102">
        <v>1.25</v>
      </c>
      <c r="T16" s="1508">
        <v>0</v>
      </c>
      <c r="U16" s="1102">
        <v>1.25</v>
      </c>
      <c r="V16" s="1102">
        <v>0.25</v>
      </c>
      <c r="W16" s="1508">
        <v>4.5</v>
      </c>
      <c r="X16" s="1515">
        <f>黄色IT野帳!Q67</f>
        <v>3</v>
      </c>
      <c r="Y16" s="1005">
        <v>39.75</v>
      </c>
      <c r="Z16" s="1006">
        <v>7.88</v>
      </c>
      <c r="AA16" s="1004">
        <v>3.75</v>
      </c>
      <c r="AB16" s="1013">
        <v>10.7</v>
      </c>
      <c r="AC16" s="1014">
        <v>7.7</v>
      </c>
      <c r="AD16" s="1009">
        <v>0.2</v>
      </c>
      <c r="AE16" s="1030">
        <v>5.63</v>
      </c>
      <c r="AF16" s="1091">
        <v>0.25</v>
      </c>
      <c r="AG16" s="1102">
        <v>3</v>
      </c>
      <c r="AH16" s="1556">
        <v>0.5</v>
      </c>
      <c r="AI16" s="1556">
        <v>0.5</v>
      </c>
      <c r="AJ16" s="1556">
        <v>0.25</v>
      </c>
      <c r="AK16" s="1556">
        <v>29.25</v>
      </c>
      <c r="AL16" s="1105">
        <f>黄色IT野帳!S67</f>
        <v>1.75</v>
      </c>
    </row>
    <row r="17" spans="2:38">
      <c r="B17" s="1943"/>
      <c r="C17" s="1309" t="s">
        <v>194</v>
      </c>
      <c r="D17" s="1090">
        <f t="shared" si="0"/>
        <v>1.875</v>
      </c>
      <c r="E17" s="1090">
        <f t="shared" si="1"/>
        <v>2.9166666666666665</v>
      </c>
      <c r="F17" s="1611">
        <f t="shared" ca="1" si="2"/>
        <v>0.87100000000000011</v>
      </c>
      <c r="G17" s="1611">
        <f t="shared" ca="1" si="3"/>
        <v>2.077</v>
      </c>
      <c r="I17" s="490"/>
      <c r="J17" s="491" t="s">
        <v>304</v>
      </c>
      <c r="K17" s="1034">
        <v>6.25</v>
      </c>
      <c r="L17" s="586">
        <v>1.38</v>
      </c>
      <c r="M17" s="586">
        <v>0.17899999999999999</v>
      </c>
      <c r="N17" s="812">
        <v>0.7</v>
      </c>
      <c r="O17" s="890">
        <v>0</v>
      </c>
      <c r="P17" s="1022">
        <v>0</v>
      </c>
      <c r="Q17" s="1030">
        <v>1.54</v>
      </c>
      <c r="R17" s="1091">
        <v>1.04</v>
      </c>
      <c r="S17" s="1102">
        <v>1</v>
      </c>
      <c r="T17" s="1508">
        <v>0</v>
      </c>
      <c r="U17" s="1102">
        <v>1</v>
      </c>
      <c r="V17" s="1102">
        <v>0.75</v>
      </c>
      <c r="W17" s="1508">
        <v>2.68</v>
      </c>
      <c r="X17" s="1515">
        <f>黄色IT野帳!Q72</f>
        <v>1.875</v>
      </c>
      <c r="Y17" s="1005">
        <v>18.75</v>
      </c>
      <c r="Z17" s="1006">
        <v>1.875</v>
      </c>
      <c r="AA17" s="1004">
        <v>3.75</v>
      </c>
      <c r="AB17" s="1013">
        <v>5.2</v>
      </c>
      <c r="AC17" s="1014">
        <v>0.5</v>
      </c>
      <c r="AD17" s="1009">
        <v>0.2</v>
      </c>
      <c r="AE17" s="1030">
        <v>1.63</v>
      </c>
      <c r="AF17" s="1091">
        <v>0.63</v>
      </c>
      <c r="AG17" s="1102">
        <v>1</v>
      </c>
      <c r="AH17" s="1556">
        <v>0.5</v>
      </c>
      <c r="AI17" s="1556">
        <v>8</v>
      </c>
      <c r="AJ17" s="1556">
        <v>0.25</v>
      </c>
      <c r="AK17" s="1556">
        <v>2.86</v>
      </c>
      <c r="AL17" s="1105">
        <f>黄色IT野帳!S72</f>
        <v>2.9166666666666665</v>
      </c>
    </row>
    <row r="18" spans="2:38" ht="14.5" thickBot="1">
      <c r="B18" s="1944"/>
      <c r="C18" s="1309" t="s">
        <v>195</v>
      </c>
      <c r="D18" s="1090">
        <f t="shared" si="0"/>
        <v>2.8125</v>
      </c>
      <c r="E18" s="1090">
        <f t="shared" si="1"/>
        <v>9.6875</v>
      </c>
      <c r="F18" s="1611">
        <f t="shared" ca="1" si="2"/>
        <v>0.64385714285714291</v>
      </c>
      <c r="G18" s="1611">
        <f t="shared" ca="1" si="3"/>
        <v>1.677</v>
      </c>
      <c r="I18" s="508"/>
      <c r="J18" s="509" t="s">
        <v>305</v>
      </c>
      <c r="K18" s="1035">
        <v>1</v>
      </c>
      <c r="L18" s="587">
        <v>0.75</v>
      </c>
      <c r="M18" s="587">
        <v>0.154</v>
      </c>
      <c r="N18" s="811">
        <v>0.3</v>
      </c>
      <c r="O18" s="891">
        <v>0</v>
      </c>
      <c r="P18" s="1015">
        <v>0</v>
      </c>
      <c r="Q18" s="1031">
        <v>1</v>
      </c>
      <c r="R18" s="1106">
        <v>1.21</v>
      </c>
      <c r="S18" s="1614">
        <v>0.75</v>
      </c>
      <c r="T18" s="1509">
        <v>0</v>
      </c>
      <c r="U18" s="1614">
        <v>0.5</v>
      </c>
      <c r="V18" s="1614">
        <v>0.75</v>
      </c>
      <c r="W18" s="1509">
        <v>1.9285714285714288</v>
      </c>
      <c r="X18" s="1516">
        <f>黄色IT野帳!Q78</f>
        <v>2.8125</v>
      </c>
      <c r="Y18" s="1016">
        <v>3.6</v>
      </c>
      <c r="Z18" s="1017">
        <v>1.125</v>
      </c>
      <c r="AA18" s="1018">
        <v>3.25</v>
      </c>
      <c r="AB18" s="1019">
        <v>10.5</v>
      </c>
      <c r="AC18" s="1020">
        <v>1.2</v>
      </c>
      <c r="AD18" s="1023">
        <v>0.2</v>
      </c>
      <c r="AE18" s="1112">
        <v>0</v>
      </c>
      <c r="AF18" s="1106">
        <v>0.12</v>
      </c>
      <c r="AG18" s="1106">
        <v>0.75</v>
      </c>
      <c r="AH18" s="1557">
        <v>0</v>
      </c>
      <c r="AI18" s="1557">
        <v>1.25</v>
      </c>
      <c r="AJ18" s="1557">
        <v>0.75</v>
      </c>
      <c r="AK18" s="1557">
        <v>2.0000000000000004</v>
      </c>
      <c r="AL18" s="1113">
        <f>黄色IT野帳!S78</f>
        <v>9.6875</v>
      </c>
    </row>
    <row r="19" spans="2:38">
      <c r="B19" s="1942" t="s">
        <v>197</v>
      </c>
      <c r="C19" s="1309" t="s">
        <v>189</v>
      </c>
      <c r="D19" s="1090">
        <f t="shared" si="0"/>
        <v>1.25</v>
      </c>
      <c r="E19" s="1090">
        <f t="shared" si="1"/>
        <v>6.041666666666667</v>
      </c>
      <c r="F19" s="1611">
        <f t="shared" ca="1" si="2"/>
        <v>0.78928571428571426</v>
      </c>
      <c r="G19" s="1611">
        <f t="shared" ca="1" si="3"/>
        <v>9.0617857142857137</v>
      </c>
      <c r="I19" s="434"/>
      <c r="J19" s="484" t="s">
        <v>300</v>
      </c>
      <c r="K19" s="1034">
        <v>0.75</v>
      </c>
      <c r="L19" s="586">
        <v>1.1659999999999999</v>
      </c>
      <c r="M19" s="586">
        <v>0.33</v>
      </c>
      <c r="N19" s="812">
        <v>1.6</v>
      </c>
      <c r="O19" s="890">
        <v>0.1</v>
      </c>
      <c r="P19" s="1022">
        <v>0.3</v>
      </c>
      <c r="Q19" s="1030">
        <v>1</v>
      </c>
      <c r="R19" s="1102">
        <v>0.25</v>
      </c>
      <c r="S19" s="1102">
        <v>1.5</v>
      </c>
      <c r="T19" s="1508">
        <v>0.25</v>
      </c>
      <c r="U19" s="1102">
        <v>0.75</v>
      </c>
      <c r="V19" s="1102">
        <v>0.75</v>
      </c>
      <c r="W19" s="1508">
        <v>1.3928571428571428</v>
      </c>
      <c r="X19" s="1515">
        <f>黄色IT野帳!Q93</f>
        <v>1.25</v>
      </c>
      <c r="Y19" s="1005">
        <v>1.5</v>
      </c>
      <c r="Z19" s="1006">
        <v>0.75</v>
      </c>
      <c r="AA19" s="1004">
        <v>0.5</v>
      </c>
      <c r="AB19" s="1013">
        <v>11.4</v>
      </c>
      <c r="AC19" s="1014">
        <v>0.9</v>
      </c>
      <c r="AD19" s="1008">
        <v>11.8</v>
      </c>
      <c r="AE19" s="1030">
        <v>0.25</v>
      </c>
      <c r="AF19" s="1102">
        <v>0</v>
      </c>
      <c r="AG19" s="1102">
        <v>1.75</v>
      </c>
      <c r="AH19" s="1556">
        <v>4</v>
      </c>
      <c r="AI19" s="1556">
        <v>10</v>
      </c>
      <c r="AJ19" s="1556">
        <v>48</v>
      </c>
      <c r="AK19" s="1556">
        <v>2.5178571428571428</v>
      </c>
      <c r="AL19" s="1105">
        <f>黄色IT野帳!S93</f>
        <v>6.041666666666667</v>
      </c>
    </row>
    <row r="20" spans="2:38">
      <c r="B20" s="1943"/>
      <c r="C20" s="1309" t="s">
        <v>190</v>
      </c>
      <c r="D20" s="1090">
        <f t="shared" si="0"/>
        <v>1</v>
      </c>
      <c r="E20" s="1090">
        <f t="shared" si="1"/>
        <v>123.5</v>
      </c>
      <c r="F20" s="1611">
        <f t="shared" ca="1" si="2"/>
        <v>3.1012500000000003</v>
      </c>
      <c r="G20" s="1611">
        <f t="shared" ca="1" si="3"/>
        <v>63.33</v>
      </c>
      <c r="I20" s="490"/>
      <c r="J20" s="491" t="s">
        <v>301</v>
      </c>
      <c r="K20" s="1034">
        <v>0.25</v>
      </c>
      <c r="L20" s="586">
        <v>1</v>
      </c>
      <c r="M20" s="586">
        <v>0.27300000000000002</v>
      </c>
      <c r="N20" s="812">
        <v>11.8</v>
      </c>
      <c r="O20" s="890">
        <v>0.4</v>
      </c>
      <c r="P20" s="1022">
        <v>2.5</v>
      </c>
      <c r="Q20" s="1030">
        <v>0.5</v>
      </c>
      <c r="R20" s="1091">
        <v>0.25</v>
      </c>
      <c r="S20" s="1102">
        <v>0.5</v>
      </c>
      <c r="T20" s="1508">
        <v>1.25</v>
      </c>
      <c r="U20" s="1102">
        <v>3</v>
      </c>
      <c r="V20" s="1102">
        <v>4.25</v>
      </c>
      <c r="W20" s="1508">
        <v>6.5625</v>
      </c>
      <c r="X20" s="1515">
        <f>黄色IT野帳!Q98</f>
        <v>1</v>
      </c>
      <c r="Y20" s="1005">
        <v>6</v>
      </c>
      <c r="Z20" s="1006">
        <v>2.875</v>
      </c>
      <c r="AA20" s="1004">
        <v>10.5</v>
      </c>
      <c r="AB20" s="1013">
        <v>125.1</v>
      </c>
      <c r="AC20" s="1014">
        <v>0.7</v>
      </c>
      <c r="AD20" s="1009">
        <v>42.5</v>
      </c>
      <c r="AE20" s="1030">
        <v>0</v>
      </c>
      <c r="AF20" s="1091">
        <v>0</v>
      </c>
      <c r="AG20" s="1102">
        <v>17.5</v>
      </c>
      <c r="AH20" s="1556">
        <v>20</v>
      </c>
      <c r="AI20" s="1556">
        <v>85</v>
      </c>
      <c r="AJ20" s="1556">
        <v>277.25</v>
      </c>
      <c r="AK20" s="1556">
        <v>65.25</v>
      </c>
      <c r="AL20" s="1105">
        <f>黄色IT野帳!S98</f>
        <v>123.5</v>
      </c>
    </row>
    <row r="21" spans="2:38">
      <c r="B21" s="1943"/>
      <c r="C21" s="1309" t="s">
        <v>192</v>
      </c>
      <c r="D21" s="1090">
        <f t="shared" si="0"/>
        <v>2.2916666666666665</v>
      </c>
      <c r="E21" s="1090">
        <f t="shared" si="1"/>
        <v>127.08333333333333</v>
      </c>
      <c r="F21" s="1611">
        <f t="shared" ca="1" si="2"/>
        <v>7.5917499999999993</v>
      </c>
      <c r="G21" s="1611">
        <f t="shared" ca="1" si="3"/>
        <v>115.33250000000001</v>
      </c>
      <c r="I21" s="490" t="s">
        <v>197</v>
      </c>
      <c r="J21" s="491" t="s">
        <v>302</v>
      </c>
      <c r="K21" s="1034">
        <v>0.75</v>
      </c>
      <c r="L21" s="586">
        <v>2.33</v>
      </c>
      <c r="M21" s="586">
        <v>3.8180000000000001</v>
      </c>
      <c r="N21" s="812">
        <v>5.6</v>
      </c>
      <c r="O21" s="890">
        <v>0</v>
      </c>
      <c r="P21" s="1022">
        <v>5.3</v>
      </c>
      <c r="Q21" s="1030">
        <v>4.25</v>
      </c>
      <c r="R21" s="1091">
        <v>10</v>
      </c>
      <c r="S21" s="1102">
        <v>9.58</v>
      </c>
      <c r="T21" s="1508">
        <v>9.5</v>
      </c>
      <c r="U21" s="1102">
        <v>14</v>
      </c>
      <c r="V21" s="1102">
        <v>5</v>
      </c>
      <c r="W21" s="1508">
        <v>12.6875</v>
      </c>
      <c r="X21" s="1515">
        <f>黄色IT野帳!Q103</f>
        <v>2.2916666666666665</v>
      </c>
      <c r="Y21" s="1005">
        <v>5</v>
      </c>
      <c r="Z21" s="1006">
        <v>10.722</v>
      </c>
      <c r="AA21" s="1004">
        <v>225.38</v>
      </c>
      <c r="AB21" s="1013">
        <v>319.10000000000002</v>
      </c>
      <c r="AC21" s="1014">
        <v>21.3</v>
      </c>
      <c r="AD21" s="1009">
        <v>75.8</v>
      </c>
      <c r="AE21" s="1030">
        <v>33</v>
      </c>
      <c r="AF21" s="1091">
        <v>5</v>
      </c>
      <c r="AG21" s="1102">
        <v>85</v>
      </c>
      <c r="AH21" s="1556">
        <v>57.75</v>
      </c>
      <c r="AI21" s="1556">
        <v>93</v>
      </c>
      <c r="AJ21" s="1556">
        <v>137.25</v>
      </c>
      <c r="AK21" s="1556">
        <v>326.125</v>
      </c>
      <c r="AL21" s="1105">
        <f>黄色IT野帳!S103</f>
        <v>127.08333333333333</v>
      </c>
    </row>
    <row r="22" spans="2:38">
      <c r="B22" s="1943"/>
      <c r="C22" s="1309" t="s">
        <v>193</v>
      </c>
      <c r="D22" s="1090">
        <f t="shared" si="0"/>
        <v>3.3333333333333335</v>
      </c>
      <c r="E22" s="1090">
        <f t="shared" si="1"/>
        <v>124.58333333333333</v>
      </c>
      <c r="F22" s="1611">
        <f t="shared" ca="1" si="2"/>
        <v>14.026999999999997</v>
      </c>
      <c r="G22" s="1611">
        <f t="shared" ca="1" si="3"/>
        <v>133.13</v>
      </c>
      <c r="I22" s="490"/>
      <c r="J22" s="491" t="s">
        <v>303</v>
      </c>
      <c r="K22" s="1034">
        <v>30.3</v>
      </c>
      <c r="L22" s="586">
        <v>5.75</v>
      </c>
      <c r="M22" s="586">
        <v>9.1669999999999998</v>
      </c>
      <c r="N22" s="812">
        <v>6.4</v>
      </c>
      <c r="O22" s="890">
        <v>0.4</v>
      </c>
      <c r="P22" s="1022">
        <v>2.2999999999999998</v>
      </c>
      <c r="Q22" s="1030">
        <v>16</v>
      </c>
      <c r="R22" s="1091">
        <v>60.25</v>
      </c>
      <c r="S22" s="1102">
        <v>12.42</v>
      </c>
      <c r="T22" s="1508">
        <v>6</v>
      </c>
      <c r="U22" s="1102">
        <v>10</v>
      </c>
      <c r="V22" s="1102">
        <v>9.5</v>
      </c>
      <c r="W22" s="1508">
        <v>17</v>
      </c>
      <c r="X22" s="1515">
        <f>黄色IT野帳!Q108</f>
        <v>3.3333333333333335</v>
      </c>
      <c r="Y22" s="1005">
        <v>381</v>
      </c>
      <c r="Z22" s="1006">
        <v>219.5</v>
      </c>
      <c r="AA22" s="1004">
        <v>106.375</v>
      </c>
      <c r="AB22" s="1013">
        <v>195.7</v>
      </c>
      <c r="AC22" s="1014">
        <v>263.10000000000002</v>
      </c>
      <c r="AD22" s="1009">
        <v>42</v>
      </c>
      <c r="AE22" s="1030">
        <v>48.5</v>
      </c>
      <c r="AF22" s="1091">
        <v>14.25</v>
      </c>
      <c r="AG22" s="1102">
        <v>94.5</v>
      </c>
      <c r="AH22" s="1556">
        <v>52.5</v>
      </c>
      <c r="AI22" s="1556">
        <v>131.75</v>
      </c>
      <c r="AJ22" s="1556">
        <v>173.25</v>
      </c>
      <c r="AK22" s="1556">
        <v>315.75</v>
      </c>
      <c r="AL22" s="1105">
        <f>黄色IT野帳!S108</f>
        <v>124.58333333333333</v>
      </c>
    </row>
    <row r="23" spans="2:38">
      <c r="B23" s="1943"/>
      <c r="C23" s="1309" t="s">
        <v>194</v>
      </c>
      <c r="D23" s="1090">
        <f t="shared" si="0"/>
        <v>7.5</v>
      </c>
      <c r="E23" s="1090">
        <f t="shared" si="1"/>
        <v>96.25</v>
      </c>
      <c r="F23" s="1611">
        <f t="shared" ca="1" si="2"/>
        <v>10.153</v>
      </c>
      <c r="G23" s="1611">
        <f t="shared" ca="1" si="3"/>
        <v>87.278999999999996</v>
      </c>
      <c r="I23" s="490"/>
      <c r="J23" s="491" t="s">
        <v>304</v>
      </c>
      <c r="K23" s="1034">
        <v>30</v>
      </c>
      <c r="L23" s="586">
        <v>30.082999999999998</v>
      </c>
      <c r="M23" s="586">
        <v>7.85</v>
      </c>
      <c r="N23" s="812">
        <v>2</v>
      </c>
      <c r="O23" s="890">
        <v>2.2999999999999998</v>
      </c>
      <c r="P23" s="1022">
        <v>1.9</v>
      </c>
      <c r="Q23" s="1030">
        <v>17.7</v>
      </c>
      <c r="R23" s="1091">
        <v>34.5</v>
      </c>
      <c r="S23" s="1102">
        <v>10</v>
      </c>
      <c r="T23" s="1508">
        <v>6.25</v>
      </c>
      <c r="U23" s="1102">
        <v>6.5</v>
      </c>
      <c r="V23" s="1102">
        <v>4.75</v>
      </c>
      <c r="W23" s="1508">
        <v>15.63</v>
      </c>
      <c r="X23" s="1515">
        <f>黄色IT野帳!Q113</f>
        <v>7.5</v>
      </c>
      <c r="Y23" s="1005">
        <v>1236.2</v>
      </c>
      <c r="Z23" s="1006">
        <v>148.25</v>
      </c>
      <c r="AA23" s="1004">
        <v>65.42</v>
      </c>
      <c r="AB23" s="1013">
        <v>164.5</v>
      </c>
      <c r="AC23" s="1014">
        <v>173.9</v>
      </c>
      <c r="AD23" s="1009">
        <v>48.3</v>
      </c>
      <c r="AE23" s="1030">
        <v>140.80000000000001</v>
      </c>
      <c r="AF23" s="1091">
        <v>23.25</v>
      </c>
      <c r="AG23" s="1102">
        <v>64.5</v>
      </c>
      <c r="AH23" s="1556">
        <v>75.25</v>
      </c>
      <c r="AI23" s="1556">
        <v>10.75</v>
      </c>
      <c r="AJ23" s="1556">
        <v>11.75</v>
      </c>
      <c r="AK23" s="1556">
        <v>159.79</v>
      </c>
      <c r="AL23" s="1105">
        <f>黄色IT野帳!S113</f>
        <v>96.25</v>
      </c>
    </row>
    <row r="24" spans="2:38" ht="14.5" thickBot="1">
      <c r="B24" s="1944"/>
      <c r="C24" s="1309" t="s">
        <v>195</v>
      </c>
      <c r="D24" s="1090">
        <f t="shared" si="0"/>
        <v>6.25</v>
      </c>
      <c r="E24" s="1090">
        <f t="shared" si="1"/>
        <v>87.916666666666671</v>
      </c>
      <c r="F24" s="1611">
        <f t="shared" ca="1" si="2"/>
        <v>9.847999999999999</v>
      </c>
      <c r="G24" s="1611">
        <f t="shared" ca="1" si="3"/>
        <v>85.591000000000008</v>
      </c>
      <c r="I24" s="508"/>
      <c r="J24" s="509" t="s">
        <v>305</v>
      </c>
      <c r="K24" s="1107">
        <v>13.98</v>
      </c>
      <c r="L24" s="1092">
        <v>13.27</v>
      </c>
      <c r="M24" s="1092">
        <v>4.72</v>
      </c>
      <c r="N24" s="1093">
        <v>0.9</v>
      </c>
      <c r="O24" s="1094">
        <v>2.5</v>
      </c>
      <c r="P24" s="1095">
        <v>3.6</v>
      </c>
      <c r="Q24" s="1096">
        <v>24.85</v>
      </c>
      <c r="R24" s="1097">
        <v>14.5</v>
      </c>
      <c r="S24" s="1615">
        <v>7.25</v>
      </c>
      <c r="T24" s="1511">
        <v>12</v>
      </c>
      <c r="U24" s="1615">
        <v>9</v>
      </c>
      <c r="V24" s="1615">
        <v>14</v>
      </c>
      <c r="W24" s="1511">
        <v>9.8800000000000008</v>
      </c>
      <c r="X24" s="1518">
        <f>黄色IT野帳!Q119</f>
        <v>6.25</v>
      </c>
      <c r="Y24" s="1114">
        <v>283.2</v>
      </c>
      <c r="Z24" s="1115">
        <v>183.625</v>
      </c>
      <c r="AA24" s="1024">
        <v>151.35</v>
      </c>
      <c r="AB24" s="1116">
        <v>164.9</v>
      </c>
      <c r="AC24" s="1117">
        <v>148.9</v>
      </c>
      <c r="AD24" s="1118">
        <v>73.900000000000006</v>
      </c>
      <c r="AE24" s="1119">
        <v>62.5</v>
      </c>
      <c r="AF24" s="1097">
        <v>34.25</v>
      </c>
      <c r="AG24" s="1097">
        <v>142.25</v>
      </c>
      <c r="AH24" s="1559">
        <v>89.75</v>
      </c>
      <c r="AI24" s="1559">
        <v>17.25</v>
      </c>
      <c r="AJ24" s="1559">
        <v>5.75</v>
      </c>
      <c r="AK24" s="1559">
        <v>116.46</v>
      </c>
      <c r="AL24" s="1120">
        <f>黄色IT野帳!S119</f>
        <v>87.916666666666671</v>
      </c>
    </row>
    <row r="25" spans="2:38">
      <c r="B25" s="1942" t="s">
        <v>199</v>
      </c>
      <c r="C25" s="1309" t="s">
        <v>189</v>
      </c>
      <c r="D25" s="1090">
        <f t="shared" si="0"/>
        <v>5.9523809523809534</v>
      </c>
      <c r="E25" s="1090">
        <f t="shared" si="1"/>
        <v>107.61904761904761</v>
      </c>
      <c r="F25" s="1611">
        <f t="shared" ca="1" si="2"/>
        <v>5.1480000000000006</v>
      </c>
      <c r="G25" s="1611">
        <f t="shared" ca="1" si="3"/>
        <v>42.234000000000002</v>
      </c>
      <c r="I25" s="490"/>
      <c r="J25" s="484" t="s">
        <v>300</v>
      </c>
      <c r="K25" s="1033">
        <v>1</v>
      </c>
      <c r="L25" s="589">
        <v>4.5</v>
      </c>
      <c r="M25" s="589">
        <v>2.9</v>
      </c>
      <c r="N25" s="813">
        <v>0</v>
      </c>
      <c r="O25" s="895">
        <v>1.5</v>
      </c>
      <c r="P25" s="1025">
        <v>0.3</v>
      </c>
      <c r="Q25" s="1032">
        <v>13.25</v>
      </c>
      <c r="R25" s="1103">
        <v>2.14</v>
      </c>
      <c r="S25" s="1103">
        <v>7.29</v>
      </c>
      <c r="T25" s="1510">
        <v>2.25</v>
      </c>
      <c r="U25" s="1103">
        <v>5</v>
      </c>
      <c r="V25" s="1103">
        <v>7.75</v>
      </c>
      <c r="W25" s="1510">
        <v>12</v>
      </c>
      <c r="X25" s="1517">
        <f>黄色IT野帳!Q134</f>
        <v>5.9523809523809534</v>
      </c>
      <c r="Y25" s="1121">
        <v>25.3</v>
      </c>
      <c r="Z25" s="1122">
        <v>86</v>
      </c>
      <c r="AA25" s="1026">
        <v>87.83</v>
      </c>
      <c r="AB25" s="1125">
        <v>83.3</v>
      </c>
      <c r="AC25" s="1126">
        <v>96.5</v>
      </c>
      <c r="AD25" s="1124">
        <v>26.3</v>
      </c>
      <c r="AE25" s="1032">
        <v>45.7</v>
      </c>
      <c r="AF25" s="1103">
        <v>7.5</v>
      </c>
      <c r="AG25" s="1103">
        <v>49.79</v>
      </c>
      <c r="AH25" s="1558">
        <v>13.75</v>
      </c>
      <c r="AI25" s="1558">
        <v>68</v>
      </c>
      <c r="AJ25" s="1558">
        <v>2.25</v>
      </c>
      <c r="AK25" s="1558">
        <v>29.25</v>
      </c>
      <c r="AL25" s="1104">
        <f>黄色IT野帳!S134</f>
        <v>107.61904761904761</v>
      </c>
    </row>
    <row r="26" spans="2:38">
      <c r="B26" s="1943"/>
      <c r="C26" s="1309" t="s">
        <v>190</v>
      </c>
      <c r="D26" s="1090">
        <f t="shared" si="0"/>
        <v>1.6666666666666667</v>
      </c>
      <c r="E26" s="1090">
        <f t="shared" si="1"/>
        <v>37.916666666666664</v>
      </c>
      <c r="F26" s="1611">
        <f t="shared" ca="1" si="2"/>
        <v>5.8319999999999999</v>
      </c>
      <c r="G26" s="1611">
        <f t="shared" ca="1" si="3"/>
        <v>47.960999999999999</v>
      </c>
      <c r="I26" s="490"/>
      <c r="J26" s="491" t="s">
        <v>301</v>
      </c>
      <c r="K26" s="1034">
        <v>0.75</v>
      </c>
      <c r="L26" s="586">
        <v>6.1805000000000003</v>
      </c>
      <c r="M26" s="586">
        <v>1.75</v>
      </c>
      <c r="N26" s="812">
        <v>0.2</v>
      </c>
      <c r="O26" s="890">
        <v>2.2999999999999998</v>
      </c>
      <c r="P26" s="1022">
        <v>1.5</v>
      </c>
      <c r="Q26" s="1030">
        <v>11.25</v>
      </c>
      <c r="R26" s="1091">
        <v>3.61</v>
      </c>
      <c r="S26" s="1102">
        <v>8.2100000000000009</v>
      </c>
      <c r="T26" s="1508">
        <v>6.5</v>
      </c>
      <c r="U26" s="1102">
        <v>3.5</v>
      </c>
      <c r="V26" s="1102">
        <v>6.5</v>
      </c>
      <c r="W26" s="1508">
        <v>14.75</v>
      </c>
      <c r="X26" s="1515">
        <f>黄色IT野帳!Q139</f>
        <v>1.6666666666666667</v>
      </c>
      <c r="Y26" s="1005">
        <v>8.1660000000000004</v>
      </c>
      <c r="Z26" s="1006">
        <v>37.708300000000001</v>
      </c>
      <c r="AA26" s="1004">
        <v>77.125</v>
      </c>
      <c r="AB26" s="1013">
        <v>156.30000000000001</v>
      </c>
      <c r="AC26" s="1014">
        <v>63.8</v>
      </c>
      <c r="AD26" s="1009">
        <v>51.8</v>
      </c>
      <c r="AE26" s="1030">
        <v>43.25</v>
      </c>
      <c r="AF26" s="1091">
        <v>7.25</v>
      </c>
      <c r="AG26" s="1102">
        <v>54.71</v>
      </c>
      <c r="AH26" s="1556">
        <v>9.75</v>
      </c>
      <c r="AI26" s="1556">
        <v>32.25</v>
      </c>
      <c r="AJ26" s="1556">
        <v>11.5</v>
      </c>
      <c r="AK26" s="1556">
        <v>49</v>
      </c>
      <c r="AL26" s="1105">
        <f>黄色IT野帳!S139</f>
        <v>37.916666666666664</v>
      </c>
    </row>
    <row r="27" spans="2:38">
      <c r="B27" s="1943"/>
      <c r="C27" s="1309" t="s">
        <v>192</v>
      </c>
      <c r="D27" s="1090">
        <f t="shared" si="0"/>
        <v>1.7</v>
      </c>
      <c r="E27" s="1090">
        <f t="shared" si="1"/>
        <v>80</v>
      </c>
      <c r="F27" s="1611">
        <f t="shared" ca="1" si="2"/>
        <v>5.1049999999999995</v>
      </c>
      <c r="G27" s="1611">
        <f t="shared" ca="1" si="3"/>
        <v>81.47</v>
      </c>
      <c r="I27" s="490" t="s">
        <v>288</v>
      </c>
      <c r="J27" s="491" t="s">
        <v>302</v>
      </c>
      <c r="K27" s="1034">
        <v>2.125</v>
      </c>
      <c r="L27" s="586">
        <v>3.9167000000000001</v>
      </c>
      <c r="M27" s="586">
        <v>1.21</v>
      </c>
      <c r="N27" s="812">
        <v>0.8</v>
      </c>
      <c r="O27" s="890">
        <v>1.1000000000000001</v>
      </c>
      <c r="P27" s="1022">
        <v>3.4</v>
      </c>
      <c r="Q27" s="1030">
        <v>6</v>
      </c>
      <c r="R27" s="1091">
        <v>13.25</v>
      </c>
      <c r="S27" s="1091">
        <v>1.5</v>
      </c>
      <c r="T27" s="1508">
        <v>5.75</v>
      </c>
      <c r="U27" s="1102">
        <v>0.75</v>
      </c>
      <c r="V27" s="1102">
        <v>2.25</v>
      </c>
      <c r="W27" s="1508">
        <v>16.25</v>
      </c>
      <c r="X27" s="1515">
        <f>黄色IT野帳!Q144</f>
        <v>1.7</v>
      </c>
      <c r="Y27" s="1005">
        <v>126.72</v>
      </c>
      <c r="Z27" s="1006">
        <v>302</v>
      </c>
      <c r="AA27" s="1004">
        <v>186.10400000000001</v>
      </c>
      <c r="AB27" s="1013">
        <v>266.3</v>
      </c>
      <c r="AC27" s="1014">
        <v>30.9</v>
      </c>
      <c r="AD27" s="1009">
        <v>46.5</v>
      </c>
      <c r="AE27" s="1030">
        <v>45.5</v>
      </c>
      <c r="AF27" s="1091">
        <v>11.5</v>
      </c>
      <c r="AG27" s="1102">
        <v>138.25</v>
      </c>
      <c r="AH27" s="1556">
        <v>45.75</v>
      </c>
      <c r="AI27" s="1556">
        <v>64.5</v>
      </c>
      <c r="AJ27" s="1556">
        <v>49.25</v>
      </c>
      <c r="AK27" s="1556">
        <v>116.25</v>
      </c>
      <c r="AL27" s="1105">
        <f>黄色IT野帳!S144</f>
        <v>80</v>
      </c>
    </row>
    <row r="28" spans="2:38">
      <c r="B28" s="1943"/>
      <c r="C28" s="1309" t="s">
        <v>193</v>
      </c>
      <c r="D28" s="1090">
        <f t="shared" si="0"/>
        <v>10.833333333333334</v>
      </c>
      <c r="E28" s="1090">
        <f t="shared" si="1"/>
        <v>54.375</v>
      </c>
      <c r="F28" s="1611">
        <f t="shared" ca="1" si="2"/>
        <v>9.706999999999999</v>
      </c>
      <c r="G28" s="1611">
        <f t="shared" ca="1" si="3"/>
        <v>148.21899999999999</v>
      </c>
      <c r="I28" s="490"/>
      <c r="J28" s="491" t="s">
        <v>303</v>
      </c>
      <c r="K28" s="1034">
        <v>2.125</v>
      </c>
      <c r="L28" s="586">
        <v>8.0832999999999995</v>
      </c>
      <c r="M28" s="586">
        <v>3.58</v>
      </c>
      <c r="N28" s="812">
        <v>2.6</v>
      </c>
      <c r="O28" s="890">
        <v>0.9</v>
      </c>
      <c r="P28" s="1022">
        <v>9.3000000000000007</v>
      </c>
      <c r="Q28" s="1030">
        <v>10.75</v>
      </c>
      <c r="R28" s="1091">
        <v>0.83</v>
      </c>
      <c r="S28" s="1102">
        <v>8</v>
      </c>
      <c r="T28" s="1508">
        <v>3.75</v>
      </c>
      <c r="U28" s="1102">
        <v>7</v>
      </c>
      <c r="V28" s="1102">
        <v>47.19</v>
      </c>
      <c r="W28" s="1508">
        <v>6.75</v>
      </c>
      <c r="X28" s="1515">
        <f>黄色IT野帳!Q149</f>
        <v>10.833333333333334</v>
      </c>
      <c r="Y28" s="1005">
        <v>122.3</v>
      </c>
      <c r="Z28" s="1006">
        <v>354</v>
      </c>
      <c r="AA28" s="1004">
        <v>263.13</v>
      </c>
      <c r="AB28" s="1013">
        <v>329.3</v>
      </c>
      <c r="AC28" s="1014">
        <v>61.7</v>
      </c>
      <c r="AD28" s="1009">
        <v>123.4</v>
      </c>
      <c r="AE28" s="1030">
        <v>418.25</v>
      </c>
      <c r="AF28" s="1091">
        <v>7.29</v>
      </c>
      <c r="AG28" s="1091">
        <v>197.75</v>
      </c>
      <c r="AH28" s="1556">
        <v>74.25</v>
      </c>
      <c r="AI28" s="1556">
        <v>37.75</v>
      </c>
      <c r="AJ28" s="1556">
        <v>36.25</v>
      </c>
      <c r="AK28" s="1556">
        <v>196.25</v>
      </c>
      <c r="AL28" s="1105">
        <f>黄色IT野帳!S149</f>
        <v>54.375</v>
      </c>
    </row>
    <row r="29" spans="2:38">
      <c r="B29" s="1943"/>
      <c r="C29" s="1309" t="s">
        <v>194</v>
      </c>
      <c r="D29" s="1090" t="e">
        <f t="shared" si="0"/>
        <v>#N/A</v>
      </c>
      <c r="E29" s="1090" t="e">
        <f t="shared" si="1"/>
        <v>#N/A</v>
      </c>
      <c r="F29" s="1611">
        <f t="shared" ca="1" si="2"/>
        <v>19.288</v>
      </c>
      <c r="G29" s="1611">
        <f t="shared" ca="1" si="3"/>
        <v>137.86600000000001</v>
      </c>
      <c r="I29" s="490"/>
      <c r="J29" s="491" t="s">
        <v>304</v>
      </c>
      <c r="K29" s="1034">
        <v>7.8125</v>
      </c>
      <c r="L29" s="586">
        <v>18.667000000000002</v>
      </c>
      <c r="M29" s="586">
        <v>11.42</v>
      </c>
      <c r="N29" s="812">
        <v>20.2</v>
      </c>
      <c r="O29" s="890">
        <v>1.3</v>
      </c>
      <c r="P29" s="1022">
        <v>11.9</v>
      </c>
      <c r="Q29" s="1030">
        <v>12.75</v>
      </c>
      <c r="R29" s="1091">
        <v>1.67</v>
      </c>
      <c r="S29" s="1102">
        <v>13.5</v>
      </c>
      <c r="T29" s="1508">
        <v>25.5</v>
      </c>
      <c r="U29" s="1102">
        <v>14</v>
      </c>
      <c r="V29" s="1102">
        <v>58.06</v>
      </c>
      <c r="W29" s="1508">
        <v>34</v>
      </c>
      <c r="X29" s="1515" t="e">
        <f>黄色IT野帳!Q154</f>
        <v>#N/A</v>
      </c>
      <c r="Y29" s="1005">
        <v>103.33</v>
      </c>
      <c r="Z29" s="1006">
        <v>312.125</v>
      </c>
      <c r="AA29" s="1004">
        <v>407.25</v>
      </c>
      <c r="AB29" s="1013">
        <v>269.3</v>
      </c>
      <c r="AC29" s="1014">
        <v>120.4</v>
      </c>
      <c r="AD29" s="1009">
        <v>405</v>
      </c>
      <c r="AE29" s="1030">
        <v>197.25</v>
      </c>
      <c r="AF29" s="1091">
        <v>4.21</v>
      </c>
      <c r="AG29" s="1102">
        <v>120.5</v>
      </c>
      <c r="AH29" s="1556">
        <v>72</v>
      </c>
      <c r="AI29" s="1556">
        <v>41.25</v>
      </c>
      <c r="AJ29" s="1556">
        <v>34.5</v>
      </c>
      <c r="AK29" s="1556">
        <v>114.25</v>
      </c>
      <c r="AL29" s="1105" t="e">
        <f>黄色IT野帳!S154</f>
        <v>#N/A</v>
      </c>
    </row>
    <row r="30" spans="2:38" ht="14.5" thickBot="1">
      <c r="B30" s="1944"/>
      <c r="C30" s="1309" t="s">
        <v>195</v>
      </c>
      <c r="D30" s="1090" t="e">
        <f t="shared" si="0"/>
        <v>#N/A</v>
      </c>
      <c r="E30" s="1090" t="e">
        <f t="shared" si="1"/>
        <v>#N/A</v>
      </c>
      <c r="F30" s="1611">
        <f t="shared" ca="1" si="2"/>
        <v>29.875714285714288</v>
      </c>
      <c r="G30" s="1611">
        <f t="shared" ca="1" si="3"/>
        <v>165.53571428571428</v>
      </c>
      <c r="I30" s="490"/>
      <c r="J30" s="509" t="s">
        <v>305</v>
      </c>
      <c r="K30" s="1035">
        <v>27.81</v>
      </c>
      <c r="L30" s="587">
        <v>34.923999999999999</v>
      </c>
      <c r="M30" s="587">
        <v>22</v>
      </c>
      <c r="N30" s="811">
        <v>45.2</v>
      </c>
      <c r="O30" s="891">
        <v>9.3000000000000007</v>
      </c>
      <c r="P30" s="1015">
        <v>15.4</v>
      </c>
      <c r="Q30" s="1031">
        <v>44.5</v>
      </c>
      <c r="R30" s="1106">
        <v>3</v>
      </c>
      <c r="S30" s="1614">
        <v>31.5</v>
      </c>
      <c r="T30" s="1509">
        <v>17</v>
      </c>
      <c r="U30" s="1614">
        <v>18.5</v>
      </c>
      <c r="V30" s="1614">
        <v>88</v>
      </c>
      <c r="W30" s="1509">
        <v>26.357142857142861</v>
      </c>
      <c r="X30" s="1516" t="e">
        <f>黄色IT野帳!Q160</f>
        <v>#N/A</v>
      </c>
      <c r="Y30" s="1016">
        <v>88.25</v>
      </c>
      <c r="Z30" s="1017">
        <v>262.024</v>
      </c>
      <c r="AA30" s="1018">
        <v>383.75</v>
      </c>
      <c r="AB30" s="1019">
        <v>254.8</v>
      </c>
      <c r="AC30" s="1020">
        <v>40</v>
      </c>
      <c r="AD30" s="1023">
        <v>196.7</v>
      </c>
      <c r="AE30" s="1112">
        <v>370.25</v>
      </c>
      <c r="AF30" s="1106">
        <v>7.75</v>
      </c>
      <c r="AG30" s="1106">
        <v>201.75</v>
      </c>
      <c r="AH30" s="1557">
        <v>79.75</v>
      </c>
      <c r="AI30" s="1557">
        <v>188</v>
      </c>
      <c r="AJ30" s="1557">
        <v>104</v>
      </c>
      <c r="AK30" s="1557">
        <v>212.35714285714289</v>
      </c>
      <c r="AL30" s="1113" t="e">
        <f>黄色IT野帳!S160</f>
        <v>#N/A</v>
      </c>
    </row>
    <row r="31" spans="2:38">
      <c r="B31" s="1942" t="s">
        <v>200</v>
      </c>
      <c r="C31" s="1309" t="s">
        <v>189</v>
      </c>
      <c r="D31" s="1090" t="e">
        <f t="shared" si="0"/>
        <v>#N/A</v>
      </c>
      <c r="E31" s="1090" t="e">
        <f t="shared" si="1"/>
        <v>#N/A</v>
      </c>
      <c r="F31" s="1611">
        <f t="shared" ca="1" si="2"/>
        <v>25.380285714285712</v>
      </c>
      <c r="G31" s="1611">
        <f t="shared" ca="1" si="3"/>
        <v>152.9782857142857</v>
      </c>
      <c r="I31" s="434"/>
      <c r="J31" s="484" t="s">
        <v>300</v>
      </c>
      <c r="K31" s="586">
        <v>52.375</v>
      </c>
      <c r="L31" s="586">
        <v>31.262799999999999</v>
      </c>
      <c r="M31" s="586">
        <v>28.75</v>
      </c>
      <c r="N31" s="812">
        <v>3.5</v>
      </c>
      <c r="O31" s="890">
        <v>10.7</v>
      </c>
      <c r="P31" s="1022">
        <v>29.4</v>
      </c>
      <c r="Q31" s="1030">
        <v>10.71</v>
      </c>
      <c r="R31" s="1102">
        <v>10</v>
      </c>
      <c r="S31" s="1102">
        <v>73</v>
      </c>
      <c r="T31" s="1508">
        <v>9.25</v>
      </c>
      <c r="U31" s="1102">
        <v>7</v>
      </c>
      <c r="V31" s="1102">
        <v>57.25</v>
      </c>
      <c r="W31" s="1508">
        <v>42.992857142857147</v>
      </c>
      <c r="X31" s="1515" t="e">
        <f>黄色IT野帳!Q175</f>
        <v>#N/A</v>
      </c>
      <c r="Y31" s="1005">
        <v>273.05</v>
      </c>
      <c r="Z31" s="1006">
        <v>464.572</v>
      </c>
      <c r="AA31" s="1004">
        <v>427.625</v>
      </c>
      <c r="AB31" s="1013">
        <v>107.3</v>
      </c>
      <c r="AC31" s="1014">
        <v>70.400000000000006</v>
      </c>
      <c r="AD31" s="1008">
        <v>208.3</v>
      </c>
      <c r="AE31" s="1030">
        <v>147.13999999999999</v>
      </c>
      <c r="AF31" s="1102">
        <v>107.75</v>
      </c>
      <c r="AG31" s="1102">
        <v>222.75</v>
      </c>
      <c r="AH31" s="1556">
        <v>105</v>
      </c>
      <c r="AI31" s="1556">
        <v>106.25</v>
      </c>
      <c r="AJ31" s="1556">
        <v>234.5</v>
      </c>
      <c r="AK31" s="1556">
        <v>220.39285714285714</v>
      </c>
      <c r="AL31" s="1105" t="e">
        <f>黄色IT野帳!S175</f>
        <v>#N/A</v>
      </c>
    </row>
    <row r="32" spans="2:38">
      <c r="B32" s="1943"/>
      <c r="C32" s="1309" t="s">
        <v>190</v>
      </c>
      <c r="D32" s="1090" t="e">
        <f t="shared" si="0"/>
        <v>#N/A</v>
      </c>
      <c r="E32" s="1090" t="e">
        <f t="shared" si="1"/>
        <v>#N/A</v>
      </c>
      <c r="F32" s="1611">
        <f t="shared" ca="1" si="2"/>
        <v>11.796000000000001</v>
      </c>
      <c r="G32" s="1611">
        <f t="shared" ca="1" si="3"/>
        <v>116.89000000000001</v>
      </c>
      <c r="I32" s="490"/>
      <c r="J32" s="491" t="s">
        <v>301</v>
      </c>
      <c r="K32" s="586">
        <v>7.25</v>
      </c>
      <c r="L32" s="586">
        <v>25.05</v>
      </c>
      <c r="M32" s="586">
        <v>28.67</v>
      </c>
      <c r="N32" s="812">
        <v>3</v>
      </c>
      <c r="O32" s="890">
        <v>1.9</v>
      </c>
      <c r="P32" s="1022">
        <v>27.8</v>
      </c>
      <c r="Q32" s="1030">
        <v>13.54</v>
      </c>
      <c r="R32" s="1091">
        <v>8.57</v>
      </c>
      <c r="S32" s="1102">
        <v>27.5</v>
      </c>
      <c r="T32" s="1508">
        <v>5.5</v>
      </c>
      <c r="U32" s="1102">
        <v>5</v>
      </c>
      <c r="V32" s="1102">
        <v>3.5</v>
      </c>
      <c r="W32" s="1508">
        <v>21.65</v>
      </c>
      <c r="X32" s="1515" t="e">
        <f>黄色IT野帳!Q180</f>
        <v>#N/A</v>
      </c>
      <c r="Y32" s="1005">
        <v>359.6</v>
      </c>
      <c r="Z32" s="1006">
        <v>442.67</v>
      </c>
      <c r="AA32" s="1004">
        <v>331.5</v>
      </c>
      <c r="AB32" s="1013">
        <v>139.1</v>
      </c>
      <c r="AC32" s="1014">
        <v>47.9</v>
      </c>
      <c r="AD32" s="1009">
        <v>217.5</v>
      </c>
      <c r="AE32" s="1030">
        <v>230.86</v>
      </c>
      <c r="AF32" s="1091">
        <v>23.04</v>
      </c>
      <c r="AG32" s="1102">
        <v>151.75</v>
      </c>
      <c r="AH32" s="1556">
        <v>27.75</v>
      </c>
      <c r="AI32" s="1556">
        <v>112.5</v>
      </c>
      <c r="AJ32" s="1556">
        <v>135</v>
      </c>
      <c r="AK32" s="1556">
        <v>83.5</v>
      </c>
      <c r="AL32" s="1105" t="e">
        <f>黄色IT野帳!S180</f>
        <v>#N/A</v>
      </c>
    </row>
    <row r="33" spans="2:38">
      <c r="B33" s="1943"/>
      <c r="C33" s="1309" t="s">
        <v>192</v>
      </c>
      <c r="D33" s="1090" t="e">
        <f t="shared" si="0"/>
        <v>#N/A</v>
      </c>
      <c r="E33" s="1090" t="e">
        <f t="shared" si="1"/>
        <v>#N/A</v>
      </c>
      <c r="F33" s="1611">
        <f t="shared" ca="1" si="2"/>
        <v>10.533999999999999</v>
      </c>
      <c r="G33" s="1611">
        <f t="shared" ca="1" si="3"/>
        <v>101.41200000000001</v>
      </c>
      <c r="I33" s="490" t="s">
        <v>289</v>
      </c>
      <c r="J33" s="491" t="s">
        <v>302</v>
      </c>
      <c r="K33" s="586">
        <v>12</v>
      </c>
      <c r="L33" s="586">
        <v>30.20833</v>
      </c>
      <c r="M33" s="586">
        <v>11.08</v>
      </c>
      <c r="N33" s="812">
        <v>5.8</v>
      </c>
      <c r="O33" s="890">
        <v>2.7</v>
      </c>
      <c r="P33" s="1022">
        <v>19.2</v>
      </c>
      <c r="Q33" s="1030">
        <v>34.5</v>
      </c>
      <c r="R33" s="1091">
        <v>8.43</v>
      </c>
      <c r="S33" s="1102">
        <v>10.75</v>
      </c>
      <c r="T33" s="1508">
        <v>3.96</v>
      </c>
      <c r="U33" s="1102">
        <v>0</v>
      </c>
      <c r="V33" s="1102">
        <v>11</v>
      </c>
      <c r="W33" s="1508">
        <v>9</v>
      </c>
      <c r="X33" s="1515" t="e">
        <f>黄色IT野帳!Q185</f>
        <v>#N/A</v>
      </c>
      <c r="Y33" s="1005">
        <v>175</v>
      </c>
      <c r="Z33" s="1006">
        <v>232.1875</v>
      </c>
      <c r="AA33" s="1004">
        <v>122.63</v>
      </c>
      <c r="AB33" s="1013">
        <v>83.3</v>
      </c>
      <c r="AC33" s="1014">
        <v>209.5</v>
      </c>
      <c r="AD33" s="1009">
        <v>12.9</v>
      </c>
      <c r="AE33" s="1030">
        <v>95</v>
      </c>
      <c r="AF33" s="1091">
        <v>15.46</v>
      </c>
      <c r="AG33" s="1102">
        <v>169.5</v>
      </c>
      <c r="AH33" s="1556">
        <v>36.46</v>
      </c>
      <c r="AI33" s="1556">
        <v>72.25</v>
      </c>
      <c r="AJ33" s="1556">
        <v>256.25</v>
      </c>
      <c r="AK33" s="1556">
        <v>63.5</v>
      </c>
      <c r="AL33" s="1105" t="e">
        <f>黄色IT野帳!S185</f>
        <v>#N/A</v>
      </c>
    </row>
    <row r="34" spans="2:38">
      <c r="B34" s="1943"/>
      <c r="C34" s="1309" t="s">
        <v>193</v>
      </c>
      <c r="D34" s="1090" t="e">
        <f t="shared" si="0"/>
        <v>#N/A</v>
      </c>
      <c r="E34" s="1090" t="e">
        <f t="shared" si="1"/>
        <v>#N/A</v>
      </c>
      <c r="F34" s="1611">
        <f t="shared" ca="1" si="2"/>
        <v>7.6689999999999996</v>
      </c>
      <c r="G34" s="1611">
        <f t="shared" ca="1" si="3"/>
        <v>84.539000000000016</v>
      </c>
      <c r="I34" s="490"/>
      <c r="J34" s="491" t="s">
        <v>303</v>
      </c>
      <c r="K34" s="586">
        <f>18.625+3</f>
        <v>21.625</v>
      </c>
      <c r="L34" s="586">
        <v>25.25</v>
      </c>
      <c r="M34" s="586">
        <v>14.58</v>
      </c>
      <c r="N34" s="812">
        <v>2.2999999999999998</v>
      </c>
      <c r="O34" s="890">
        <v>4.4000000000000004</v>
      </c>
      <c r="P34" s="1022">
        <v>4.7</v>
      </c>
      <c r="Q34" s="1030">
        <v>28.33</v>
      </c>
      <c r="R34" s="1091">
        <v>2</v>
      </c>
      <c r="S34" s="1102">
        <v>2.75</v>
      </c>
      <c r="T34" s="1508">
        <v>13.29</v>
      </c>
      <c r="U34" s="1102">
        <v>7.25</v>
      </c>
      <c r="V34" s="1102">
        <v>3.75</v>
      </c>
      <c r="W34" s="1508">
        <v>7.92</v>
      </c>
      <c r="X34" s="1515" t="e">
        <f>黄色IT野帳!Q190</f>
        <v>#N/A</v>
      </c>
      <c r="Y34" s="1005">
        <f>134+67</f>
        <v>201</v>
      </c>
      <c r="Z34" s="1006">
        <v>122.5</v>
      </c>
      <c r="AA34" s="1004">
        <v>146.63</v>
      </c>
      <c r="AB34" s="1013">
        <v>52.1</v>
      </c>
      <c r="AC34" s="1014">
        <v>196.6</v>
      </c>
      <c r="AD34" s="1009">
        <v>10.9</v>
      </c>
      <c r="AE34" s="1030">
        <v>39.79</v>
      </c>
      <c r="AF34" s="1091">
        <v>13.75</v>
      </c>
      <c r="AG34" s="1102">
        <v>51.75</v>
      </c>
      <c r="AH34" s="1556">
        <v>94.79</v>
      </c>
      <c r="AI34" s="1556">
        <v>211.75</v>
      </c>
      <c r="AJ34" s="1556">
        <v>151.25</v>
      </c>
      <c r="AK34" s="1556">
        <v>22.71</v>
      </c>
      <c r="AL34" s="1105" t="e">
        <f>黄色IT野帳!S190</f>
        <v>#N/A</v>
      </c>
    </row>
    <row r="35" spans="2:38">
      <c r="B35" s="1943"/>
      <c r="C35" s="1309" t="s">
        <v>194</v>
      </c>
      <c r="D35" s="1090" t="e">
        <f t="shared" si="0"/>
        <v>#N/A</v>
      </c>
      <c r="E35" s="1090" t="e">
        <f t="shared" si="1"/>
        <v>#N/A</v>
      </c>
      <c r="F35" s="1611">
        <f t="shared" ca="1" si="2"/>
        <v>4.2549999999999999</v>
      </c>
      <c r="G35" s="1611">
        <f t="shared" ca="1" si="3"/>
        <v>104.19983333333332</v>
      </c>
      <c r="I35" s="490"/>
      <c r="J35" s="491" t="s">
        <v>304</v>
      </c>
      <c r="K35" s="586">
        <v>15.3</v>
      </c>
      <c r="L35" s="586">
        <v>7.75</v>
      </c>
      <c r="M35" s="586">
        <v>1.73</v>
      </c>
      <c r="N35" s="812">
        <v>2.6</v>
      </c>
      <c r="O35" s="890">
        <v>8</v>
      </c>
      <c r="P35" s="1022">
        <v>0.7</v>
      </c>
      <c r="Q35" s="1030">
        <v>14.42</v>
      </c>
      <c r="R35" s="1091">
        <v>3.33</v>
      </c>
      <c r="S35" s="1102">
        <v>3.75</v>
      </c>
      <c r="T35" s="1508">
        <v>5.5</v>
      </c>
      <c r="U35" s="1102">
        <v>0.25</v>
      </c>
      <c r="V35" s="1102">
        <v>0.75</v>
      </c>
      <c r="W35" s="1508">
        <v>3.25</v>
      </c>
      <c r="X35" s="1515" t="e">
        <f>黄色IT野帳!Q195</f>
        <v>#N/A</v>
      </c>
      <c r="Y35" s="1005">
        <v>340.875</v>
      </c>
      <c r="Z35" s="1006">
        <v>96.875</v>
      </c>
      <c r="AA35" s="1004">
        <v>89.11</v>
      </c>
      <c r="AB35" s="1013">
        <v>123.8</v>
      </c>
      <c r="AC35" s="1014">
        <v>213</v>
      </c>
      <c r="AD35" s="1009">
        <v>4.2</v>
      </c>
      <c r="AE35" s="1030">
        <v>23.21</v>
      </c>
      <c r="AF35" s="1091">
        <v>48.33</v>
      </c>
      <c r="AG35" s="1102">
        <v>92.5</v>
      </c>
      <c r="AH35" s="1556">
        <v>122.75</v>
      </c>
      <c r="AI35" s="1556">
        <v>339.25</v>
      </c>
      <c r="AJ35" s="1556">
        <v>42.25</v>
      </c>
      <c r="AK35" s="1556">
        <v>32.708333333333336</v>
      </c>
      <c r="AL35" s="1105" t="e">
        <f>黄色IT野帳!S195</f>
        <v>#N/A</v>
      </c>
    </row>
    <row r="36" spans="2:38" ht="14.5" thickBot="1">
      <c r="B36" s="1944"/>
      <c r="C36" s="1309" t="s">
        <v>195</v>
      </c>
      <c r="D36" s="1090" t="e">
        <f t="shared" si="0"/>
        <v>#N/A</v>
      </c>
      <c r="E36" s="1090" t="e">
        <f t="shared" si="1"/>
        <v>#N/A</v>
      </c>
      <c r="F36" s="1611">
        <f t="shared" ca="1" si="2"/>
        <v>3.6653333333333338</v>
      </c>
      <c r="G36" s="1611">
        <f t="shared" ca="1" si="3"/>
        <v>173.47033333333331</v>
      </c>
      <c r="I36" s="508"/>
      <c r="J36" s="509" t="s">
        <v>305</v>
      </c>
      <c r="K36" s="1092">
        <v>7.5</v>
      </c>
      <c r="L36" s="1092">
        <v>7.15</v>
      </c>
      <c r="M36" s="1092">
        <v>0.69</v>
      </c>
      <c r="N36" s="1093">
        <v>5.6</v>
      </c>
      <c r="O36" s="1094">
        <v>6.8</v>
      </c>
      <c r="P36" s="1095">
        <v>0.6</v>
      </c>
      <c r="Q36" s="1096">
        <v>0.75</v>
      </c>
      <c r="R36" s="1097">
        <v>4.67</v>
      </c>
      <c r="S36" s="1615">
        <v>5.15</v>
      </c>
      <c r="T36" s="1511">
        <v>8.5</v>
      </c>
      <c r="U36" s="1615">
        <v>0.25</v>
      </c>
      <c r="V36" s="1615">
        <v>2.75</v>
      </c>
      <c r="W36" s="1511">
        <v>1.5833333333333335</v>
      </c>
      <c r="X36" s="1518" t="e">
        <f>黄色IT野帳!Q201</f>
        <v>#N/A</v>
      </c>
      <c r="Y36" s="1114">
        <v>283.39999999999998</v>
      </c>
      <c r="Z36" s="1115">
        <v>80.625</v>
      </c>
      <c r="AA36" s="1024">
        <v>50.17</v>
      </c>
      <c r="AB36" s="1116">
        <v>194.6</v>
      </c>
      <c r="AC36" s="1117">
        <v>527.6</v>
      </c>
      <c r="AD36" s="1118">
        <v>20</v>
      </c>
      <c r="AE36" s="1119">
        <v>98.5</v>
      </c>
      <c r="AF36" s="1097">
        <v>46.42</v>
      </c>
      <c r="AG36" s="1097">
        <v>151.5</v>
      </c>
      <c r="AH36" s="1559">
        <v>157</v>
      </c>
      <c r="AI36" s="1559">
        <v>340</v>
      </c>
      <c r="AJ36" s="1559">
        <v>111.75</v>
      </c>
      <c r="AK36" s="1559">
        <v>87.333333333333329</v>
      </c>
      <c r="AL36" s="1120" t="e">
        <f>黄色IT野帳!S201</f>
        <v>#N/A</v>
      </c>
    </row>
    <row r="37" spans="2:38">
      <c r="B37" s="1942" t="s">
        <v>201</v>
      </c>
      <c r="C37" s="1309" t="s">
        <v>189</v>
      </c>
      <c r="D37" s="1090" t="e">
        <f t="shared" si="0"/>
        <v>#N/A</v>
      </c>
      <c r="E37" s="1090" t="e">
        <f t="shared" si="1"/>
        <v>#N/A</v>
      </c>
      <c r="F37" s="1611">
        <f t="shared" ca="1" si="2"/>
        <v>3.3409999999999997</v>
      </c>
      <c r="G37" s="1611">
        <f t="shared" ca="1" si="3"/>
        <v>230.523</v>
      </c>
      <c r="I37" s="490"/>
      <c r="J37" s="484" t="s">
        <v>300</v>
      </c>
      <c r="K37" s="1033">
        <v>8</v>
      </c>
      <c r="L37" s="589">
        <v>2.25</v>
      </c>
      <c r="M37" s="589">
        <v>0.16</v>
      </c>
      <c r="N37" s="813">
        <v>2.1</v>
      </c>
      <c r="O37" s="895">
        <v>8.6999999999999993</v>
      </c>
      <c r="P37" s="1025">
        <v>0.5</v>
      </c>
      <c r="Q37" s="1032">
        <v>0.75</v>
      </c>
      <c r="R37" s="1103">
        <v>1.75</v>
      </c>
      <c r="S37" s="1103">
        <v>2.11</v>
      </c>
      <c r="T37" s="1510">
        <v>13.75</v>
      </c>
      <c r="U37" s="1103">
        <v>2.75</v>
      </c>
      <c r="V37" s="1103">
        <v>0.75</v>
      </c>
      <c r="W37" s="1510">
        <v>0.25</v>
      </c>
      <c r="X37" s="1517" t="e">
        <f>黄色IT野帳!Q216</f>
        <v>#N/A</v>
      </c>
      <c r="Y37" s="1121">
        <v>128</v>
      </c>
      <c r="Z37" s="1122">
        <v>118.625</v>
      </c>
      <c r="AA37" s="1026">
        <v>34.69</v>
      </c>
      <c r="AB37" s="1125">
        <v>109.3</v>
      </c>
      <c r="AC37" s="1126">
        <v>275.7</v>
      </c>
      <c r="AD37" s="1124">
        <v>21.3</v>
      </c>
      <c r="AE37" s="1032">
        <v>97.5</v>
      </c>
      <c r="AF37" s="1103">
        <v>93.75</v>
      </c>
      <c r="AG37" s="1103">
        <v>264</v>
      </c>
      <c r="AH37" s="1558">
        <v>452.68</v>
      </c>
      <c r="AI37" s="1558">
        <v>774.25</v>
      </c>
      <c r="AJ37" s="1558">
        <v>111.5</v>
      </c>
      <c r="AK37" s="1558">
        <v>105.25</v>
      </c>
      <c r="AL37" s="1104" t="e">
        <f>黄色IT野帳!S216</f>
        <v>#N/A</v>
      </c>
    </row>
    <row r="38" spans="2:38">
      <c r="B38" s="1943"/>
      <c r="C38" s="1309" t="s">
        <v>190</v>
      </c>
      <c r="D38" s="1090" t="e">
        <f t="shared" si="0"/>
        <v>#N/A</v>
      </c>
      <c r="E38" s="1090" t="e">
        <f t="shared" si="1"/>
        <v>#N/A</v>
      </c>
      <c r="F38" s="1611">
        <f t="shared" ca="1" si="2"/>
        <v>4.0009999999999994</v>
      </c>
      <c r="G38" s="1611">
        <f t="shared" ca="1" si="3"/>
        <v>387.62</v>
      </c>
      <c r="I38" s="490"/>
      <c r="J38" s="491" t="s">
        <v>301</v>
      </c>
      <c r="K38" s="1034">
        <v>9.9</v>
      </c>
      <c r="L38" s="586">
        <v>6.4583000000000004</v>
      </c>
      <c r="M38" s="586">
        <v>0.15</v>
      </c>
      <c r="N38" s="812">
        <v>0.6</v>
      </c>
      <c r="O38" s="890">
        <v>10.1</v>
      </c>
      <c r="P38" s="1022">
        <v>0.6</v>
      </c>
      <c r="Q38" s="1030">
        <v>0</v>
      </c>
      <c r="R38" s="1091">
        <v>0.5</v>
      </c>
      <c r="S38" s="1102">
        <v>8</v>
      </c>
      <c r="T38" s="1508">
        <v>18</v>
      </c>
      <c r="U38" s="1102">
        <v>1.5</v>
      </c>
      <c r="V38" s="1102">
        <v>0.5</v>
      </c>
      <c r="W38" s="1508">
        <v>0.21</v>
      </c>
      <c r="X38" s="1515" t="e">
        <f>黄色IT野帳!Q221</f>
        <v>#N/A</v>
      </c>
      <c r="Y38" s="1005">
        <v>347</v>
      </c>
      <c r="Z38" s="1006">
        <v>236.875</v>
      </c>
      <c r="AA38" s="1004">
        <v>58.48</v>
      </c>
      <c r="AB38" s="1013">
        <v>95.4</v>
      </c>
      <c r="AC38" s="1014">
        <v>395.5</v>
      </c>
      <c r="AD38" s="1009">
        <v>86.6</v>
      </c>
      <c r="AE38" s="1030">
        <v>367.5</v>
      </c>
      <c r="AF38" s="1091">
        <v>152.25</v>
      </c>
      <c r="AG38" s="1102">
        <v>266.25</v>
      </c>
      <c r="AH38" s="1556">
        <v>500.82</v>
      </c>
      <c r="AI38" s="1556">
        <v>1527.5</v>
      </c>
      <c r="AJ38" s="1556">
        <v>336.25</v>
      </c>
      <c r="AK38" s="1556">
        <v>148.13</v>
      </c>
      <c r="AL38" s="1105" t="e">
        <f>黄色IT野帳!S221</f>
        <v>#N/A</v>
      </c>
    </row>
    <row r="39" spans="2:38">
      <c r="B39" s="1943"/>
      <c r="C39" s="1309" t="s">
        <v>192</v>
      </c>
      <c r="D39" s="1090" t="e">
        <f t="shared" ref="D39:D60" si="4">X39</f>
        <v>#N/A</v>
      </c>
      <c r="E39" s="1090" t="e">
        <f t="shared" si="1"/>
        <v>#N/A</v>
      </c>
      <c r="F39" s="1611">
        <f t="shared" ca="1" si="2"/>
        <v>2.5255000000000001</v>
      </c>
      <c r="G39" s="1611">
        <f t="shared" ca="1" si="3"/>
        <v>401.77816666666666</v>
      </c>
      <c r="I39" s="490" t="s">
        <v>290</v>
      </c>
      <c r="J39" s="491" t="s">
        <v>302</v>
      </c>
      <c r="K39" s="1034">
        <v>8.2289999999999992</v>
      </c>
      <c r="L39" s="586">
        <v>13.75</v>
      </c>
      <c r="M39" s="586">
        <v>0.19</v>
      </c>
      <c r="N39" s="812">
        <v>0.1</v>
      </c>
      <c r="O39" s="890">
        <v>1.3</v>
      </c>
      <c r="P39" s="1022">
        <v>0.6</v>
      </c>
      <c r="Q39" s="1030">
        <v>0</v>
      </c>
      <c r="R39" s="1091">
        <v>1.25</v>
      </c>
      <c r="S39" s="1102">
        <v>14.75</v>
      </c>
      <c r="T39" s="1508">
        <v>1.5</v>
      </c>
      <c r="U39" s="1102">
        <v>4.38</v>
      </c>
      <c r="V39" s="1102">
        <v>0.5</v>
      </c>
      <c r="W39" s="1508">
        <v>0.875</v>
      </c>
      <c r="X39" s="1515" t="e">
        <f>黄色IT野帳!Q226</f>
        <v>#N/A</v>
      </c>
      <c r="Y39" s="1005">
        <v>438.3</v>
      </c>
      <c r="Z39" s="1006">
        <v>136.6071</v>
      </c>
      <c r="AA39" s="1004">
        <v>129</v>
      </c>
      <c r="AB39" s="1013">
        <v>183.1</v>
      </c>
      <c r="AC39" s="1014">
        <v>642.1</v>
      </c>
      <c r="AD39" s="1009">
        <v>49</v>
      </c>
      <c r="AE39" s="1030">
        <v>823.5</v>
      </c>
      <c r="AF39" s="1091">
        <v>508.54</v>
      </c>
      <c r="AG39" s="1102">
        <v>220.75</v>
      </c>
      <c r="AH39" s="1556">
        <v>709</v>
      </c>
      <c r="AI39" s="1556">
        <v>341.25</v>
      </c>
      <c r="AJ39" s="1556">
        <v>287.25</v>
      </c>
      <c r="AK39" s="1556">
        <v>253.29166666666666</v>
      </c>
      <c r="AL39" s="1105" t="e">
        <f>黄色IT野帳!S226</f>
        <v>#N/A</v>
      </c>
    </row>
    <row r="40" spans="2:38">
      <c r="B40" s="1943"/>
      <c r="C40" s="1309" t="s">
        <v>193</v>
      </c>
      <c r="D40" s="1090" t="e">
        <f t="shared" si="4"/>
        <v>#N/A</v>
      </c>
      <c r="E40" s="1090" t="e">
        <f t="shared" si="1"/>
        <v>#N/A</v>
      </c>
      <c r="F40" s="1611">
        <f t="shared" ca="1" si="2"/>
        <v>2.6636666666666668</v>
      </c>
      <c r="G40" s="1611">
        <f t="shared" ca="1" si="3"/>
        <v>382.15133333333335</v>
      </c>
      <c r="I40" s="490"/>
      <c r="J40" s="491" t="s">
        <v>303</v>
      </c>
      <c r="K40" s="1034">
        <v>12.75</v>
      </c>
      <c r="L40" s="586">
        <v>0.16700000000000001</v>
      </c>
      <c r="M40" s="586">
        <v>0.27</v>
      </c>
      <c r="N40" s="812">
        <v>0.3</v>
      </c>
      <c r="O40" s="890">
        <v>0.3</v>
      </c>
      <c r="P40" s="1022">
        <v>0.2</v>
      </c>
      <c r="Q40" s="1030">
        <v>0</v>
      </c>
      <c r="R40" s="1091">
        <v>0.5</v>
      </c>
      <c r="S40" s="1102">
        <v>20.54</v>
      </c>
      <c r="T40" s="1508">
        <v>3.13</v>
      </c>
      <c r="U40" s="1102">
        <v>0</v>
      </c>
      <c r="V40" s="1102">
        <v>0.5</v>
      </c>
      <c r="W40" s="1508">
        <v>1.1666666666666667</v>
      </c>
      <c r="X40" s="1515" t="e">
        <f>黄色IT野帳!Q231</f>
        <v>#N/A</v>
      </c>
      <c r="Y40" s="1005">
        <v>674.125</v>
      </c>
      <c r="Z40" s="1006">
        <v>330.875</v>
      </c>
      <c r="AA40" s="1004">
        <v>170.4</v>
      </c>
      <c r="AB40" s="1013">
        <v>964.9</v>
      </c>
      <c r="AC40" s="1014">
        <v>556.79999999999995</v>
      </c>
      <c r="AD40" s="1009">
        <v>44.2</v>
      </c>
      <c r="AE40" s="1030">
        <v>404.75</v>
      </c>
      <c r="AF40" s="1091">
        <v>631.46</v>
      </c>
      <c r="AG40" s="1102">
        <v>164.11</v>
      </c>
      <c r="AH40" s="1556">
        <v>261.45999999999998</v>
      </c>
      <c r="AI40" s="1556">
        <v>62.75</v>
      </c>
      <c r="AJ40" s="1556">
        <v>297.75</v>
      </c>
      <c r="AK40" s="1556">
        <v>433.33333333333331</v>
      </c>
      <c r="AL40" s="1105" t="e">
        <f>黄色IT野帳!S231</f>
        <v>#N/A</v>
      </c>
    </row>
    <row r="41" spans="2:38">
      <c r="B41" s="1943"/>
      <c r="C41" s="1309" t="s">
        <v>194</v>
      </c>
      <c r="D41" s="1090" t="e">
        <f t="shared" si="4"/>
        <v>#N/A</v>
      </c>
      <c r="E41" s="1090" t="e">
        <f t="shared" si="1"/>
        <v>#N/A</v>
      </c>
      <c r="F41" s="1611">
        <f t="shared" ca="1" si="2"/>
        <v>2.39</v>
      </c>
      <c r="G41" s="1611">
        <f t="shared" ca="1" si="3"/>
        <v>314.92899999999997</v>
      </c>
      <c r="I41" s="490"/>
      <c r="J41" s="491" t="s">
        <v>304</v>
      </c>
      <c r="K41" s="1034">
        <v>19.375</v>
      </c>
      <c r="L41" s="586">
        <v>0.66700000000000004</v>
      </c>
      <c r="M41" s="586">
        <v>1.65</v>
      </c>
      <c r="N41" s="812">
        <v>1.4</v>
      </c>
      <c r="O41" s="890">
        <v>0.2</v>
      </c>
      <c r="P41" s="1022">
        <v>0</v>
      </c>
      <c r="Q41" s="1030">
        <v>0</v>
      </c>
      <c r="R41" s="1091">
        <v>0</v>
      </c>
      <c r="S41" s="1102">
        <v>12.21</v>
      </c>
      <c r="T41" s="1508">
        <v>2.13</v>
      </c>
      <c r="U41" s="1102">
        <v>6.25</v>
      </c>
      <c r="V41" s="1102">
        <v>0.25</v>
      </c>
      <c r="W41" s="1508">
        <v>1.46</v>
      </c>
      <c r="X41" s="1515" t="e">
        <f>黄色IT野帳!Q236</f>
        <v>#N/A</v>
      </c>
      <c r="Y41" s="1005">
        <v>230.624</v>
      </c>
      <c r="Z41" s="1006">
        <v>228.75</v>
      </c>
      <c r="AA41" s="1004">
        <v>127.3</v>
      </c>
      <c r="AB41" s="1013">
        <v>703.6</v>
      </c>
      <c r="AC41" s="1014">
        <v>292.39999999999998</v>
      </c>
      <c r="AD41" s="1009">
        <v>107.6</v>
      </c>
      <c r="AE41" s="1030">
        <v>163.13</v>
      </c>
      <c r="AF41" s="1091">
        <v>773.5</v>
      </c>
      <c r="AG41" s="1102">
        <v>118.89</v>
      </c>
      <c r="AH41" s="1556">
        <v>97.29</v>
      </c>
      <c r="AI41" s="1556">
        <v>79</v>
      </c>
      <c r="AJ41" s="1556">
        <v>447</v>
      </c>
      <c r="AK41" s="1556">
        <v>366.88</v>
      </c>
      <c r="AL41" s="1105" t="e">
        <f>黄色IT野帳!S236</f>
        <v>#N/A</v>
      </c>
    </row>
    <row r="42" spans="2:38" ht="14.5" thickBot="1">
      <c r="B42" s="1944"/>
      <c r="C42" s="1309" t="s">
        <v>195</v>
      </c>
      <c r="D42" s="1090" t="e">
        <f t="shared" si="4"/>
        <v>#N/A</v>
      </c>
      <c r="E42" s="1090" t="e">
        <f t="shared" si="1"/>
        <v>#N/A</v>
      </c>
      <c r="F42" s="1611">
        <f t="shared" ca="1" si="2"/>
        <v>1.5441666666666667</v>
      </c>
      <c r="G42" s="1611">
        <f t="shared" ca="1" si="3"/>
        <v>396.49250000000001</v>
      </c>
      <c r="I42" s="490"/>
      <c r="J42" s="509" t="s">
        <v>305</v>
      </c>
      <c r="K42" s="1035">
        <v>11.11</v>
      </c>
      <c r="L42" s="587">
        <v>0.54</v>
      </c>
      <c r="M42" s="587">
        <v>2.4300000000000002</v>
      </c>
      <c r="N42" s="811">
        <v>1.6</v>
      </c>
      <c r="O42" s="891">
        <v>0.9</v>
      </c>
      <c r="P42" s="1015">
        <v>0.4</v>
      </c>
      <c r="Q42" s="1031">
        <v>0</v>
      </c>
      <c r="R42" s="1106">
        <v>2.25</v>
      </c>
      <c r="S42" s="1614">
        <v>2.25</v>
      </c>
      <c r="T42" s="1509">
        <v>2.5</v>
      </c>
      <c r="U42" s="1614">
        <v>2.25</v>
      </c>
      <c r="V42" s="1614">
        <v>2</v>
      </c>
      <c r="W42" s="1509">
        <v>1.2916666666666667</v>
      </c>
      <c r="X42" s="1516" t="e">
        <f>黄色IT野帳!Q242</f>
        <v>#N/A</v>
      </c>
      <c r="Y42" s="1016">
        <v>112.25</v>
      </c>
      <c r="Z42" s="1017">
        <v>144.63999999999999</v>
      </c>
      <c r="AA42" s="1018">
        <v>170.21</v>
      </c>
      <c r="AB42" s="1019">
        <v>271.2</v>
      </c>
      <c r="AC42" s="1020">
        <v>435.8</v>
      </c>
      <c r="AD42" s="1023">
        <v>186.8</v>
      </c>
      <c r="AE42" s="1112">
        <v>164.5</v>
      </c>
      <c r="AF42" s="1106">
        <v>1021.25</v>
      </c>
      <c r="AG42" s="1106">
        <v>124.75</v>
      </c>
      <c r="AH42" s="1557">
        <v>193</v>
      </c>
      <c r="AI42" s="1557">
        <v>354.5</v>
      </c>
      <c r="AJ42" s="1557">
        <v>857.75</v>
      </c>
      <c r="AK42" s="1557">
        <v>355.375</v>
      </c>
      <c r="AL42" s="1113" t="e">
        <f>黄色IT野帳!S242</f>
        <v>#N/A</v>
      </c>
    </row>
    <row r="43" spans="2:38">
      <c r="B43" s="1942" t="s">
        <v>202</v>
      </c>
      <c r="C43" s="1309" t="s">
        <v>189</v>
      </c>
      <c r="D43" s="1090" t="e">
        <f t="shared" si="4"/>
        <v>#N/A</v>
      </c>
      <c r="E43" s="1090" t="e">
        <f t="shared" si="1"/>
        <v>#N/A</v>
      </c>
      <c r="F43" s="1611">
        <f t="shared" ca="1" si="2"/>
        <v>2.1059999999999999</v>
      </c>
      <c r="G43" s="1611">
        <f t="shared" ca="1" si="3"/>
        <v>179.15</v>
      </c>
      <c r="I43" s="434"/>
      <c r="J43" s="484" t="s">
        <v>300</v>
      </c>
      <c r="K43" s="586">
        <v>13.75</v>
      </c>
      <c r="L43" s="586">
        <v>0.61</v>
      </c>
      <c r="M43" s="586">
        <v>3.87</v>
      </c>
      <c r="N43" s="812">
        <v>0.25</v>
      </c>
      <c r="O43" s="890">
        <v>0.2</v>
      </c>
      <c r="P43" s="1022">
        <v>0.5</v>
      </c>
      <c r="Q43" s="1030">
        <v>0.5</v>
      </c>
      <c r="R43" s="1102">
        <v>0</v>
      </c>
      <c r="S43" s="1102">
        <v>4.75</v>
      </c>
      <c r="T43" s="1508">
        <v>8.25</v>
      </c>
      <c r="U43" s="1102">
        <v>5.5</v>
      </c>
      <c r="V43" s="1102">
        <v>0.75</v>
      </c>
      <c r="W43" s="1508">
        <v>0.36</v>
      </c>
      <c r="X43" s="1515" t="e">
        <f>黄色IT野帳!Q257</f>
        <v>#N/A</v>
      </c>
      <c r="Y43" s="1005">
        <v>70.08</v>
      </c>
      <c r="Z43" s="1006">
        <v>182.93</v>
      </c>
      <c r="AA43" s="1004">
        <v>279.2</v>
      </c>
      <c r="AB43" s="1013">
        <v>195</v>
      </c>
      <c r="AC43" s="1014">
        <v>182.7</v>
      </c>
      <c r="AD43" s="1008">
        <v>237</v>
      </c>
      <c r="AE43" s="1030">
        <v>55.63</v>
      </c>
      <c r="AF43" s="1102">
        <v>392.92</v>
      </c>
      <c r="AG43" s="1102">
        <v>114.75</v>
      </c>
      <c r="AH43" s="1556">
        <v>350.25</v>
      </c>
      <c r="AI43" s="1556">
        <v>12.5</v>
      </c>
      <c r="AJ43" s="1556">
        <v>87</v>
      </c>
      <c r="AK43" s="1556">
        <v>163.75</v>
      </c>
      <c r="AL43" s="1105" t="e">
        <f>黄色IT野帳!S257</f>
        <v>#N/A</v>
      </c>
    </row>
    <row r="44" spans="2:38">
      <c r="B44" s="1943"/>
      <c r="C44" s="1309" t="s">
        <v>190</v>
      </c>
      <c r="D44" s="1090" t="e">
        <f t="shared" si="4"/>
        <v>#N/A</v>
      </c>
      <c r="E44" s="1090" t="e">
        <f t="shared" si="1"/>
        <v>#N/A</v>
      </c>
      <c r="F44" s="1611">
        <f t="shared" ca="1" si="2"/>
        <v>2.0082857142857145</v>
      </c>
      <c r="G44" s="1611">
        <f t="shared" ca="1" si="3"/>
        <v>136.03399999999999</v>
      </c>
      <c r="I44" s="490"/>
      <c r="J44" s="491" t="s">
        <v>301</v>
      </c>
      <c r="K44" s="586">
        <v>7.05</v>
      </c>
      <c r="L44" s="586">
        <v>0.76</v>
      </c>
      <c r="M44" s="586">
        <v>3.63</v>
      </c>
      <c r="N44" s="812">
        <v>0.4</v>
      </c>
      <c r="O44" s="890">
        <v>0.2</v>
      </c>
      <c r="P44" s="1022">
        <v>0.3</v>
      </c>
      <c r="Q44" s="1030">
        <v>1.5</v>
      </c>
      <c r="R44" s="1091">
        <v>0.25</v>
      </c>
      <c r="S44" s="1102">
        <v>6</v>
      </c>
      <c r="T44" s="1508">
        <v>6.04</v>
      </c>
      <c r="U44" s="1102">
        <v>4.5</v>
      </c>
      <c r="V44" s="1102">
        <v>0.25</v>
      </c>
      <c r="W44" s="1508">
        <v>0.64285714285714279</v>
      </c>
      <c r="X44" s="1515" t="e">
        <f>黄色IT野帳!Q262</f>
        <v>#N/A</v>
      </c>
      <c r="Y44" s="1005">
        <v>49.685000000000002</v>
      </c>
      <c r="Z44" s="1006">
        <v>182.08</v>
      </c>
      <c r="AA44" s="1004">
        <v>354.55</v>
      </c>
      <c r="AB44" s="1013">
        <v>239.1</v>
      </c>
      <c r="AC44" s="1014">
        <v>194.4</v>
      </c>
      <c r="AD44" s="1009">
        <v>186.3</v>
      </c>
      <c r="AE44" s="1030">
        <v>17</v>
      </c>
      <c r="AF44" s="1091">
        <v>140.33000000000001</v>
      </c>
      <c r="AG44" s="1102">
        <v>199.25</v>
      </c>
      <c r="AH44" s="1556">
        <v>68.959999999999994</v>
      </c>
      <c r="AI44" s="1556">
        <v>36.25</v>
      </c>
      <c r="AJ44" s="1556">
        <v>180.75</v>
      </c>
      <c r="AK44" s="1556">
        <v>98</v>
      </c>
      <c r="AL44" s="1105" t="e">
        <f>黄色IT野帳!S262</f>
        <v>#N/A</v>
      </c>
    </row>
    <row r="45" spans="2:38">
      <c r="B45" s="1943"/>
      <c r="C45" s="1309" t="s">
        <v>192</v>
      </c>
      <c r="D45" s="1090" t="e">
        <f t="shared" si="4"/>
        <v>#N/A</v>
      </c>
      <c r="E45" s="1090" t="e">
        <f t="shared" si="1"/>
        <v>#N/A</v>
      </c>
      <c r="F45" s="1611">
        <f t="shared" ca="1" si="2"/>
        <v>3.3280000000000003</v>
      </c>
      <c r="G45" s="1611">
        <f t="shared" ca="1" si="3"/>
        <v>87.181000000000012</v>
      </c>
      <c r="I45" s="490" t="s">
        <v>291</v>
      </c>
      <c r="J45" s="491" t="s">
        <v>302</v>
      </c>
      <c r="K45" s="586">
        <v>1.61</v>
      </c>
      <c r="L45" s="586">
        <v>0.81</v>
      </c>
      <c r="M45" s="586">
        <v>1.25</v>
      </c>
      <c r="N45" s="812">
        <v>0.6</v>
      </c>
      <c r="O45" s="890">
        <v>1.8</v>
      </c>
      <c r="P45" s="1022">
        <v>1</v>
      </c>
      <c r="Q45" s="1030">
        <v>0</v>
      </c>
      <c r="R45" s="1091">
        <v>1.75</v>
      </c>
      <c r="S45" s="1102">
        <v>7</v>
      </c>
      <c r="T45" s="1508">
        <v>4.21</v>
      </c>
      <c r="U45" s="1102">
        <v>15.5</v>
      </c>
      <c r="V45" s="1102">
        <v>1</v>
      </c>
      <c r="W45" s="1508">
        <v>0.42</v>
      </c>
      <c r="X45" s="1515" t="e">
        <f>黄色IT野帳!Q267</f>
        <v>#N/A</v>
      </c>
      <c r="Y45" s="1005">
        <v>38.1</v>
      </c>
      <c r="Z45" s="1006">
        <v>89.102000000000004</v>
      </c>
      <c r="AA45" s="1004">
        <v>329.46</v>
      </c>
      <c r="AB45" s="1013">
        <v>154.4</v>
      </c>
      <c r="AC45" s="1014">
        <v>69.400000000000006</v>
      </c>
      <c r="AD45" s="1009">
        <v>111.3</v>
      </c>
      <c r="AE45" s="1030">
        <v>19.170000000000002</v>
      </c>
      <c r="AF45" s="1091">
        <v>77.75</v>
      </c>
      <c r="AG45" s="1102">
        <v>56.25</v>
      </c>
      <c r="AH45" s="1556">
        <v>37.04</v>
      </c>
      <c r="AI45" s="1556">
        <v>53.5</v>
      </c>
      <c r="AJ45" s="1556">
        <v>138</v>
      </c>
      <c r="AK45" s="1556">
        <v>155</v>
      </c>
      <c r="AL45" s="1105" t="e">
        <f>黄色IT野帳!S267</f>
        <v>#N/A</v>
      </c>
    </row>
    <row r="46" spans="2:38">
      <c r="B46" s="1943"/>
      <c r="C46" s="1309" t="s">
        <v>193</v>
      </c>
      <c r="D46" s="1090" t="e">
        <f t="shared" si="4"/>
        <v>#N/A</v>
      </c>
      <c r="E46" s="1090" t="e">
        <f t="shared" si="1"/>
        <v>#N/A</v>
      </c>
      <c r="F46" s="1611">
        <f t="shared" ca="1" si="2"/>
        <v>3.8233333333333333</v>
      </c>
      <c r="G46" s="1611">
        <f t="shared" ca="1" si="3"/>
        <v>90.790999999999997</v>
      </c>
      <c r="I46" s="490"/>
      <c r="J46" s="491" t="s">
        <v>303</v>
      </c>
      <c r="K46" s="586">
        <v>1.39</v>
      </c>
      <c r="L46" s="586">
        <v>0.25</v>
      </c>
      <c r="M46" s="586">
        <v>1.19</v>
      </c>
      <c r="N46" s="812">
        <v>2.2999999999999998</v>
      </c>
      <c r="O46" s="890">
        <v>1.5</v>
      </c>
      <c r="P46" s="1022">
        <v>0</v>
      </c>
      <c r="Q46" s="1030">
        <v>3.58</v>
      </c>
      <c r="R46" s="1091">
        <v>0.89</v>
      </c>
      <c r="S46" s="1102">
        <v>13.13</v>
      </c>
      <c r="T46" s="1508">
        <v>5.25</v>
      </c>
      <c r="U46" s="1102">
        <v>9.75</v>
      </c>
      <c r="V46" s="1102">
        <v>1.75</v>
      </c>
      <c r="W46" s="1508">
        <v>8.3333333333333329E-2</v>
      </c>
      <c r="X46" s="1515" t="e">
        <f>黄色IT野帳!Q272</f>
        <v>#N/A</v>
      </c>
      <c r="Y46" s="1005">
        <v>82.95</v>
      </c>
      <c r="Z46" s="1006">
        <v>21.42</v>
      </c>
      <c r="AA46" s="1004">
        <v>225.91</v>
      </c>
      <c r="AB46" s="1013">
        <v>55.9</v>
      </c>
      <c r="AC46" s="1014">
        <v>77.099999999999994</v>
      </c>
      <c r="AD46" s="1009">
        <v>100.8</v>
      </c>
      <c r="AE46" s="1030">
        <v>21.69</v>
      </c>
      <c r="AF46" s="1091">
        <v>16.96</v>
      </c>
      <c r="AG46" s="1102">
        <v>235.31</v>
      </c>
      <c r="AH46" s="1556">
        <v>107.25</v>
      </c>
      <c r="AI46" s="1556">
        <v>87.5</v>
      </c>
      <c r="AJ46" s="1556">
        <v>14</v>
      </c>
      <c r="AK46" s="1556">
        <v>191.4</v>
      </c>
      <c r="AL46" s="1105" t="e">
        <f>黄色IT野帳!S272</f>
        <v>#N/A</v>
      </c>
    </row>
    <row r="47" spans="2:38">
      <c r="B47" s="1943"/>
      <c r="C47" s="1309" t="s">
        <v>194</v>
      </c>
      <c r="D47" s="1090" t="e">
        <f t="shared" si="4"/>
        <v>#N/A</v>
      </c>
      <c r="E47" s="1090" t="e">
        <f t="shared" si="1"/>
        <v>#N/A</v>
      </c>
      <c r="F47" s="1611">
        <f t="shared" ca="1" si="2"/>
        <v>5.3349999999999991</v>
      </c>
      <c r="G47" s="1611">
        <f t="shared" ca="1" si="3"/>
        <v>68.271000000000001</v>
      </c>
      <c r="I47" s="490"/>
      <c r="J47" s="491" t="s">
        <v>304</v>
      </c>
      <c r="K47" s="586">
        <v>1.875</v>
      </c>
      <c r="L47" s="586">
        <v>0.06</v>
      </c>
      <c r="M47" s="586">
        <v>1.48</v>
      </c>
      <c r="N47" s="812">
        <v>2.2999999999999998</v>
      </c>
      <c r="O47" s="890">
        <v>1.3</v>
      </c>
      <c r="P47" s="1022">
        <v>6.8</v>
      </c>
      <c r="Q47" s="1030">
        <v>4.42</v>
      </c>
      <c r="R47" s="1091">
        <v>1.1100000000000001</v>
      </c>
      <c r="S47" s="1102">
        <v>10.42</v>
      </c>
      <c r="T47" s="1508">
        <v>7.25</v>
      </c>
      <c r="U47" s="1102">
        <v>16.75</v>
      </c>
      <c r="V47" s="1102">
        <v>1.75</v>
      </c>
      <c r="W47" s="1508">
        <v>1.25</v>
      </c>
      <c r="X47" s="1515" t="e">
        <f>黄色IT野帳!Q277</f>
        <v>#N/A</v>
      </c>
      <c r="Y47" s="1005">
        <v>25.38</v>
      </c>
      <c r="Z47" s="1006">
        <v>19.88</v>
      </c>
      <c r="AA47" s="1004">
        <v>170.5</v>
      </c>
      <c r="AB47" s="1013">
        <v>36.9</v>
      </c>
      <c r="AC47" s="1014">
        <v>33</v>
      </c>
      <c r="AD47" s="1009">
        <v>60.3</v>
      </c>
      <c r="AE47" s="1030">
        <v>27.64</v>
      </c>
      <c r="AF47" s="1091">
        <v>14.44</v>
      </c>
      <c r="AG47" s="1102">
        <v>52.08</v>
      </c>
      <c r="AH47" s="1556">
        <v>38.75</v>
      </c>
      <c r="AI47" s="1556">
        <v>44.25</v>
      </c>
      <c r="AJ47" s="1556">
        <v>26.5</v>
      </c>
      <c r="AK47" s="1556">
        <v>348.85</v>
      </c>
      <c r="AL47" s="1105" t="e">
        <f>黄色IT野帳!S277</f>
        <v>#N/A</v>
      </c>
    </row>
    <row r="48" spans="2:38" ht="14.5" thickBot="1">
      <c r="B48" s="1944"/>
      <c r="C48" s="1309" t="s">
        <v>195</v>
      </c>
      <c r="D48" s="1090" t="e">
        <f t="shared" si="4"/>
        <v>#N/A</v>
      </c>
      <c r="E48" s="1090" t="e">
        <f t="shared" si="1"/>
        <v>#N/A</v>
      </c>
      <c r="F48" s="1611">
        <f t="shared" ca="1" si="2"/>
        <v>5.6204285714285716</v>
      </c>
      <c r="G48" s="1611">
        <f t="shared" ca="1" si="3"/>
        <v>39.581714285714291</v>
      </c>
      <c r="I48" s="508"/>
      <c r="J48" s="509" t="s">
        <v>305</v>
      </c>
      <c r="K48" s="1092">
        <v>1.75</v>
      </c>
      <c r="L48" s="1092">
        <v>0.14000000000000001</v>
      </c>
      <c r="M48" s="1092">
        <v>1.18</v>
      </c>
      <c r="N48" s="1093">
        <v>0.3</v>
      </c>
      <c r="O48" s="1094">
        <v>0.4</v>
      </c>
      <c r="P48" s="1095">
        <v>0</v>
      </c>
      <c r="Q48" s="1096">
        <v>5.5</v>
      </c>
      <c r="R48" s="1097">
        <v>1.5</v>
      </c>
      <c r="S48" s="1615">
        <v>10.58</v>
      </c>
      <c r="T48" s="1511">
        <v>5.71</v>
      </c>
      <c r="U48" s="1615">
        <v>27</v>
      </c>
      <c r="V48" s="1615">
        <v>2</v>
      </c>
      <c r="W48" s="1511">
        <v>3.2142857142857144</v>
      </c>
      <c r="X48" s="1518" t="e">
        <f>黄色IT野帳!Q283</f>
        <v>#N/A</v>
      </c>
      <c r="Y48" s="1114">
        <v>27.5</v>
      </c>
      <c r="Z48" s="1115">
        <v>44.48</v>
      </c>
      <c r="AA48" s="1024">
        <v>42.71</v>
      </c>
      <c r="AB48" s="1116">
        <v>11.1</v>
      </c>
      <c r="AC48" s="1117">
        <v>20.3</v>
      </c>
      <c r="AD48" s="1118">
        <v>43</v>
      </c>
      <c r="AE48" s="1119">
        <v>19.5</v>
      </c>
      <c r="AF48" s="1097">
        <v>10.85</v>
      </c>
      <c r="AG48" s="1097">
        <v>42.42</v>
      </c>
      <c r="AH48" s="1559">
        <v>4.29</v>
      </c>
      <c r="AI48" s="1559">
        <v>34.25</v>
      </c>
      <c r="AJ48" s="1559">
        <v>117.75</v>
      </c>
      <c r="AK48" s="1559">
        <v>92.357142857142861</v>
      </c>
      <c r="AL48" s="1120" t="e">
        <f>黄色IT野帳!S283</f>
        <v>#N/A</v>
      </c>
    </row>
    <row r="49" spans="1:39">
      <c r="B49" s="1942" t="s">
        <v>203</v>
      </c>
      <c r="C49" s="1309" t="s">
        <v>189</v>
      </c>
      <c r="D49" s="1090" t="e">
        <f t="shared" si="4"/>
        <v>#N/A</v>
      </c>
      <c r="E49" s="1090" t="e">
        <f t="shared" si="1"/>
        <v>#N/A</v>
      </c>
      <c r="F49" s="1611">
        <f t="shared" ca="1" si="2"/>
        <v>7.8605714285714283</v>
      </c>
      <c r="G49" s="1611">
        <f t="shared" ca="1" si="3"/>
        <v>26.042285714285715</v>
      </c>
      <c r="I49" s="490"/>
      <c r="J49" s="484" t="s">
        <v>300</v>
      </c>
      <c r="K49" s="1033">
        <v>6.16</v>
      </c>
      <c r="L49" s="589">
        <v>0.36</v>
      </c>
      <c r="M49" s="589">
        <v>1.92</v>
      </c>
      <c r="N49" s="813">
        <v>0.4</v>
      </c>
      <c r="O49" s="895">
        <v>3.4</v>
      </c>
      <c r="P49" s="1025">
        <v>0.9</v>
      </c>
      <c r="Q49" s="1032">
        <v>9.58</v>
      </c>
      <c r="R49" s="1103">
        <v>1.25</v>
      </c>
      <c r="S49" s="1103">
        <v>12.75</v>
      </c>
      <c r="T49" s="1510">
        <v>12.04</v>
      </c>
      <c r="U49" s="1103">
        <v>31</v>
      </c>
      <c r="V49" s="1103">
        <v>3.25</v>
      </c>
      <c r="W49" s="1510">
        <v>4.0357142857142856</v>
      </c>
      <c r="X49" s="1517" t="e">
        <f>黄色IT野帳!Q298</f>
        <v>#N/A</v>
      </c>
      <c r="Y49" s="1121">
        <v>19.05</v>
      </c>
      <c r="Z49" s="1122">
        <v>28.4</v>
      </c>
      <c r="AA49" s="1026">
        <v>12.75</v>
      </c>
      <c r="AB49" s="1125">
        <v>7</v>
      </c>
      <c r="AC49" s="1126">
        <v>11.6</v>
      </c>
      <c r="AD49" s="1124">
        <v>56.3</v>
      </c>
      <c r="AE49" s="1032">
        <v>9.17</v>
      </c>
      <c r="AF49" s="1103">
        <v>1</v>
      </c>
      <c r="AG49" s="1103">
        <v>25.5</v>
      </c>
      <c r="AH49" s="1558">
        <v>3.21</v>
      </c>
      <c r="AI49" s="1558">
        <v>11.75</v>
      </c>
      <c r="AJ49" s="1558">
        <v>74.5</v>
      </c>
      <c r="AK49" s="1558">
        <v>60.392857142857139</v>
      </c>
      <c r="AL49" s="1104" t="e">
        <f>黄色IT野帳!S298</f>
        <v>#N/A</v>
      </c>
    </row>
    <row r="50" spans="1:39">
      <c r="B50" s="1943"/>
      <c r="C50" s="1309" t="s">
        <v>190</v>
      </c>
      <c r="D50" s="1090" t="e">
        <f t="shared" si="4"/>
        <v>#N/A</v>
      </c>
      <c r="E50" s="1090" t="e">
        <f t="shared" si="1"/>
        <v>#N/A</v>
      </c>
      <c r="F50" s="1611">
        <f t="shared" ca="1" si="2"/>
        <v>9.0239999999999991</v>
      </c>
      <c r="G50" s="1611">
        <f t="shared" ca="1" si="3"/>
        <v>11.595000000000001</v>
      </c>
      <c r="I50" s="490"/>
      <c r="J50" s="491" t="s">
        <v>301</v>
      </c>
      <c r="K50" s="1034">
        <v>15</v>
      </c>
      <c r="L50" s="586">
        <v>0.83</v>
      </c>
      <c r="M50" s="586">
        <v>1.82</v>
      </c>
      <c r="N50" s="812">
        <v>0.5</v>
      </c>
      <c r="O50" s="890">
        <v>1</v>
      </c>
      <c r="P50" s="1022">
        <v>1.5</v>
      </c>
      <c r="Q50" s="1030">
        <v>21.42</v>
      </c>
      <c r="R50" s="1091">
        <v>6.46</v>
      </c>
      <c r="S50" s="1102">
        <v>13.25</v>
      </c>
      <c r="T50" s="1508">
        <v>17.5</v>
      </c>
      <c r="U50" s="1102">
        <v>17.75</v>
      </c>
      <c r="V50" s="1102">
        <v>9.25</v>
      </c>
      <c r="W50" s="1508">
        <v>1.61</v>
      </c>
      <c r="X50" s="1515" t="e">
        <f>黄色IT野帳!Q303</f>
        <v>#N/A</v>
      </c>
      <c r="Y50" s="1005">
        <v>22.6</v>
      </c>
      <c r="Z50" s="1006">
        <v>17.079999999999998</v>
      </c>
      <c r="AA50" s="1004">
        <v>3.36</v>
      </c>
      <c r="AB50" s="1013">
        <v>4.4000000000000004</v>
      </c>
      <c r="AC50" s="1014">
        <v>23.3</v>
      </c>
      <c r="AD50" s="1009">
        <v>14.5</v>
      </c>
      <c r="AE50" s="1030">
        <v>5.83</v>
      </c>
      <c r="AF50" s="1091">
        <v>4.17</v>
      </c>
      <c r="AG50" s="1102">
        <v>6.75</v>
      </c>
      <c r="AH50" s="1556">
        <v>2.5</v>
      </c>
      <c r="AI50" s="1556">
        <v>14.25</v>
      </c>
      <c r="AJ50" s="1556">
        <v>19</v>
      </c>
      <c r="AK50" s="1556">
        <v>21.25</v>
      </c>
      <c r="AL50" s="1105" t="e">
        <f>黄色IT野帳!S303</f>
        <v>#N/A</v>
      </c>
    </row>
    <row r="51" spans="1:39">
      <c r="B51" s="1943"/>
      <c r="C51" s="1309" t="s">
        <v>192</v>
      </c>
      <c r="D51" s="1090" t="e">
        <f t="shared" si="4"/>
        <v>#N/A</v>
      </c>
      <c r="E51" s="1090" t="e">
        <f t="shared" si="1"/>
        <v>#N/A</v>
      </c>
      <c r="F51" s="1611">
        <f t="shared" ca="1" si="2"/>
        <v>5.7537857142857138</v>
      </c>
      <c r="G51" s="1611">
        <f t="shared" ca="1" si="3"/>
        <v>5.7537500000000001</v>
      </c>
      <c r="I51" s="490" t="s">
        <v>292</v>
      </c>
      <c r="J51" s="491" t="s">
        <v>302</v>
      </c>
      <c r="K51" s="1034">
        <v>16.309999999999999</v>
      </c>
      <c r="L51" s="586">
        <v>0.42</v>
      </c>
      <c r="M51" s="586">
        <v>2.73</v>
      </c>
      <c r="N51" s="812">
        <v>0.2</v>
      </c>
      <c r="O51" s="890">
        <v>1.7</v>
      </c>
      <c r="P51" s="1022">
        <v>1</v>
      </c>
      <c r="Q51" s="1030">
        <v>19.579999999999998</v>
      </c>
      <c r="R51" s="1091">
        <v>3.54</v>
      </c>
      <c r="S51" s="1102">
        <v>4.75</v>
      </c>
      <c r="T51" s="1508">
        <v>5.75</v>
      </c>
      <c r="U51" s="1102">
        <v>3.75</v>
      </c>
      <c r="V51" s="1102">
        <v>6.5</v>
      </c>
      <c r="W51" s="1508">
        <v>10.767857142857142</v>
      </c>
      <c r="X51" s="1515" t="e">
        <f>黄色IT野帳!Q308</f>
        <v>#N/A</v>
      </c>
      <c r="Y51" s="1005">
        <v>8.9</v>
      </c>
      <c r="Z51" s="1006">
        <v>6.88</v>
      </c>
      <c r="AA51" s="1004">
        <v>5.27</v>
      </c>
      <c r="AB51" s="1013">
        <v>3.8</v>
      </c>
      <c r="AC51" s="1014">
        <v>5.5</v>
      </c>
      <c r="AD51" s="1009">
        <v>2.2999999999999998</v>
      </c>
      <c r="AE51" s="1030">
        <v>0.42</v>
      </c>
      <c r="AF51" s="1091">
        <v>3.83</v>
      </c>
      <c r="AG51" s="1102">
        <v>3.75</v>
      </c>
      <c r="AH51" s="1556">
        <v>1.25</v>
      </c>
      <c r="AI51" s="1556">
        <v>7.75</v>
      </c>
      <c r="AJ51" s="1556">
        <v>15.75</v>
      </c>
      <c r="AK51" s="1556">
        <v>13.1875</v>
      </c>
      <c r="AL51" s="1105" t="e">
        <f>黄色IT野帳!S308</f>
        <v>#N/A</v>
      </c>
    </row>
    <row r="52" spans="1:39">
      <c r="B52" s="1943"/>
      <c r="C52" s="1309" t="s">
        <v>193</v>
      </c>
      <c r="D52" s="1090" t="e">
        <f t="shared" si="4"/>
        <v>#N/A</v>
      </c>
      <c r="E52" s="1090" t="e">
        <f t="shared" si="1"/>
        <v>#N/A</v>
      </c>
      <c r="F52" s="1611">
        <f t="shared" ca="1" si="2"/>
        <v>5.4874999999999998</v>
      </c>
      <c r="G52" s="1611">
        <f t="shared" ca="1" si="3"/>
        <v>5.3245833333333339</v>
      </c>
      <c r="I52" s="490"/>
      <c r="J52" s="491" t="s">
        <v>303</v>
      </c>
      <c r="K52" s="1034">
        <v>8.75</v>
      </c>
      <c r="L52" s="586">
        <v>0.25</v>
      </c>
      <c r="M52" s="586">
        <v>1.17</v>
      </c>
      <c r="N52" s="812">
        <v>0.2</v>
      </c>
      <c r="O52" s="890">
        <v>1.3</v>
      </c>
      <c r="P52" s="1022">
        <v>2</v>
      </c>
      <c r="Q52" s="1030">
        <v>15.25</v>
      </c>
      <c r="R52" s="1091">
        <v>2</v>
      </c>
      <c r="S52" s="1102">
        <v>4</v>
      </c>
      <c r="T52" s="1508">
        <v>3</v>
      </c>
      <c r="U52" s="1102">
        <v>1.5</v>
      </c>
      <c r="V52" s="1102">
        <v>17.75</v>
      </c>
      <c r="W52" s="1508">
        <v>7.875</v>
      </c>
      <c r="X52" s="1515" t="e">
        <f>黄色IT野帳!Q313</f>
        <v>#N/A</v>
      </c>
      <c r="Y52" s="1005">
        <v>2.92</v>
      </c>
      <c r="Z52" s="1006">
        <v>3.375</v>
      </c>
      <c r="AA52" s="1004">
        <v>6.5</v>
      </c>
      <c r="AB52" s="1013">
        <v>2.5</v>
      </c>
      <c r="AC52" s="1014">
        <v>1.1000000000000001</v>
      </c>
      <c r="AD52" s="1009">
        <v>0.5</v>
      </c>
      <c r="AE52" s="1030">
        <v>0.5</v>
      </c>
      <c r="AF52" s="1091">
        <v>1.75</v>
      </c>
      <c r="AG52" s="1102">
        <v>1.25</v>
      </c>
      <c r="AH52" s="1556">
        <v>0.5</v>
      </c>
      <c r="AI52" s="1556">
        <v>3</v>
      </c>
      <c r="AJ52" s="1556">
        <v>32.25</v>
      </c>
      <c r="AK52" s="1556">
        <v>9.8958333333333339</v>
      </c>
      <c r="AL52" s="1105" t="e">
        <f>黄色IT野帳!S313</f>
        <v>#N/A</v>
      </c>
    </row>
    <row r="53" spans="1:39">
      <c r="B53" s="1943"/>
      <c r="C53" s="1309" t="s">
        <v>194</v>
      </c>
      <c r="D53" s="1090" t="e">
        <f t="shared" si="4"/>
        <v>#N/A</v>
      </c>
      <c r="E53" s="1090" t="e">
        <f t="shared" si="1"/>
        <v>#N/A</v>
      </c>
      <c r="F53" s="1611">
        <f t="shared" ca="1" si="2"/>
        <v>3.4225000000000003</v>
      </c>
      <c r="G53" s="1611">
        <f t="shared" ca="1" si="3"/>
        <v>3.9591666666666661</v>
      </c>
      <c r="I53" s="490"/>
      <c r="J53" s="491" t="s">
        <v>304</v>
      </c>
      <c r="K53" s="1034">
        <v>8.25</v>
      </c>
      <c r="L53" s="586">
        <v>0.54</v>
      </c>
      <c r="M53" s="586">
        <v>0.63</v>
      </c>
      <c r="N53" s="812">
        <v>0.3</v>
      </c>
      <c r="O53" s="890">
        <v>0.9</v>
      </c>
      <c r="P53" s="1022">
        <v>0.65</v>
      </c>
      <c r="Q53" s="1030">
        <v>7</v>
      </c>
      <c r="R53" s="1091">
        <v>3</v>
      </c>
      <c r="S53" s="1102">
        <v>0.5</v>
      </c>
      <c r="T53" s="1508">
        <v>1.5</v>
      </c>
      <c r="U53" s="1102">
        <v>0</v>
      </c>
      <c r="V53" s="1102">
        <v>12.5</v>
      </c>
      <c r="W53" s="1508">
        <v>7.875</v>
      </c>
      <c r="X53" s="1515" t="e">
        <f>黄色IT野帳!Q318</f>
        <v>#N/A</v>
      </c>
      <c r="Y53" s="1005">
        <v>4.58</v>
      </c>
      <c r="Z53" s="1006">
        <v>8.93</v>
      </c>
      <c r="AA53" s="1004">
        <v>2.6</v>
      </c>
      <c r="AB53" s="1013">
        <v>1.1000000000000001</v>
      </c>
      <c r="AC53" s="1014">
        <v>2.1</v>
      </c>
      <c r="AD53" s="1009">
        <v>0.6</v>
      </c>
      <c r="AE53" s="1030">
        <v>0</v>
      </c>
      <c r="AF53" s="1091">
        <v>0</v>
      </c>
      <c r="AG53" s="1102">
        <v>0.25</v>
      </c>
      <c r="AH53" s="1556">
        <v>1</v>
      </c>
      <c r="AI53" s="1556">
        <v>0.75</v>
      </c>
      <c r="AJ53" s="1556">
        <v>26.25</v>
      </c>
      <c r="AK53" s="1556">
        <v>7.541666666666667</v>
      </c>
      <c r="AL53" s="1105" t="e">
        <f>黄色IT野帳!S318</f>
        <v>#N/A</v>
      </c>
    </row>
    <row r="54" spans="1:39" ht="14.5" thickBot="1">
      <c r="B54" s="1944"/>
      <c r="C54" s="1309" t="s">
        <v>195</v>
      </c>
      <c r="D54" s="1090" t="e">
        <f t="shared" si="4"/>
        <v>#N/A</v>
      </c>
      <c r="E54" s="1090" t="e">
        <f t="shared" si="1"/>
        <v>#N/A</v>
      </c>
      <c r="F54" s="1611">
        <f t="shared" ca="1" si="2"/>
        <v>3.120625</v>
      </c>
      <c r="G54" s="1611">
        <f t="shared" ca="1" si="3"/>
        <v>3.9496250000000002</v>
      </c>
      <c r="I54" s="490"/>
      <c r="J54" s="509" t="s">
        <v>305</v>
      </c>
      <c r="K54" s="1035">
        <v>6.04</v>
      </c>
      <c r="L54" s="587">
        <v>0.25</v>
      </c>
      <c r="M54" s="587">
        <v>1</v>
      </c>
      <c r="N54" s="811">
        <v>1.1000000000000001</v>
      </c>
      <c r="O54" s="891">
        <v>0.4</v>
      </c>
      <c r="P54" s="1015">
        <v>0.8</v>
      </c>
      <c r="Q54" s="1031">
        <v>1.25</v>
      </c>
      <c r="R54" s="1106">
        <v>1.5</v>
      </c>
      <c r="S54" s="1614">
        <v>0.5</v>
      </c>
      <c r="T54" s="1509">
        <v>1</v>
      </c>
      <c r="U54" s="1614">
        <v>1.25</v>
      </c>
      <c r="V54" s="1614">
        <v>19.5</v>
      </c>
      <c r="W54" s="1509">
        <v>3.90625</v>
      </c>
      <c r="X54" s="1516" t="e">
        <f>黄色IT野帳!Q324</f>
        <v>#N/A</v>
      </c>
      <c r="Y54" s="1016">
        <v>4.79</v>
      </c>
      <c r="Z54" s="1017">
        <v>6.93</v>
      </c>
      <c r="AA54" s="1018">
        <v>8.1999999999999993</v>
      </c>
      <c r="AB54" s="1019">
        <v>3.5</v>
      </c>
      <c r="AC54" s="1020">
        <v>3.6</v>
      </c>
      <c r="AD54" s="1023">
        <v>0.3</v>
      </c>
      <c r="AE54" s="1112">
        <v>0</v>
      </c>
      <c r="AF54" s="1106">
        <v>0.94</v>
      </c>
      <c r="AG54" s="1106">
        <v>4</v>
      </c>
      <c r="AH54" s="1557">
        <v>0</v>
      </c>
      <c r="AI54" s="1557">
        <v>1.25</v>
      </c>
      <c r="AJ54" s="1557">
        <v>24</v>
      </c>
      <c r="AK54" s="1557">
        <v>1.90625</v>
      </c>
      <c r="AL54" s="1113" t="e">
        <f>黄色IT野帳!S324</f>
        <v>#N/A</v>
      </c>
    </row>
    <row r="55" spans="1:39">
      <c r="B55" s="1942" t="s">
        <v>204</v>
      </c>
      <c r="C55" s="1309" t="s">
        <v>189</v>
      </c>
      <c r="D55" s="1090" t="e">
        <f t="shared" si="4"/>
        <v>#N/A</v>
      </c>
      <c r="E55" s="1090" t="e">
        <f t="shared" si="1"/>
        <v>#N/A</v>
      </c>
      <c r="F55" s="1611">
        <f t="shared" ca="1" si="2"/>
        <v>1.6118749999999999</v>
      </c>
      <c r="G55" s="1611">
        <f t="shared" ca="1" si="3"/>
        <v>7.3578749999999999</v>
      </c>
      <c r="I55" s="434"/>
      <c r="J55" s="484" t="s">
        <v>300</v>
      </c>
      <c r="K55" s="586">
        <v>1</v>
      </c>
      <c r="L55" s="586">
        <v>0.33</v>
      </c>
      <c r="M55" s="586">
        <v>1.43</v>
      </c>
      <c r="N55" s="812">
        <v>0</v>
      </c>
      <c r="O55" s="890">
        <v>0.5</v>
      </c>
      <c r="P55" s="1022">
        <v>1.3</v>
      </c>
      <c r="Q55" s="1030">
        <v>0.47</v>
      </c>
      <c r="R55" s="1102">
        <v>1.5</v>
      </c>
      <c r="S55" s="1102">
        <v>0.5</v>
      </c>
      <c r="T55" s="1508">
        <v>0.63</v>
      </c>
      <c r="U55" s="1102">
        <v>1.25</v>
      </c>
      <c r="V55" s="1102">
        <v>5.75</v>
      </c>
      <c r="W55" s="1508">
        <v>4.21875</v>
      </c>
      <c r="X55" s="1515" t="e">
        <f>黄色IT野帳!Q339</f>
        <v>#N/A</v>
      </c>
      <c r="Y55" s="1005">
        <v>0.5</v>
      </c>
      <c r="Z55" s="1006">
        <v>7.875</v>
      </c>
      <c r="AA55" s="1004">
        <v>2.96</v>
      </c>
      <c r="AB55" s="1013">
        <v>0</v>
      </c>
      <c r="AC55" s="1014">
        <v>2.5</v>
      </c>
      <c r="AD55" s="1008">
        <v>0.3</v>
      </c>
      <c r="AE55" s="1030">
        <v>0</v>
      </c>
      <c r="AF55" s="1102">
        <v>0.31</v>
      </c>
      <c r="AG55" s="1102">
        <v>2</v>
      </c>
      <c r="AH55" s="1556">
        <v>0</v>
      </c>
      <c r="AI55" s="1556">
        <v>1.25</v>
      </c>
      <c r="AJ55" s="1556">
        <v>66.75</v>
      </c>
      <c r="AK55" s="1556">
        <v>0.46875</v>
      </c>
      <c r="AL55" s="1105" t="e">
        <f>黄色IT野帳!S339</f>
        <v>#N/A</v>
      </c>
    </row>
    <row r="56" spans="1:39">
      <c r="B56" s="1943"/>
      <c r="C56" s="1309" t="s">
        <v>190</v>
      </c>
      <c r="D56" s="1090" t="e">
        <f t="shared" si="4"/>
        <v>#N/A</v>
      </c>
      <c r="E56" s="1090" t="e">
        <f t="shared" si="1"/>
        <v>#N/A</v>
      </c>
      <c r="F56" s="1611">
        <f t="shared" ca="1" si="2"/>
        <v>0.86099999999999999</v>
      </c>
      <c r="G56" s="1611">
        <f t="shared" ca="1" si="3"/>
        <v>2.4350000000000001</v>
      </c>
      <c r="I56" s="490"/>
      <c r="J56" s="491" t="s">
        <v>301</v>
      </c>
      <c r="K56" s="586">
        <v>3.05</v>
      </c>
      <c r="L56" s="586">
        <v>0.42</v>
      </c>
      <c r="M56" s="586">
        <v>1.58</v>
      </c>
      <c r="N56" s="812">
        <v>0.5</v>
      </c>
      <c r="O56" s="890">
        <v>0.3</v>
      </c>
      <c r="P56" s="1022">
        <v>0.4</v>
      </c>
      <c r="Q56" s="1030">
        <v>0.28000000000000003</v>
      </c>
      <c r="R56" s="1091">
        <v>0.25</v>
      </c>
      <c r="S56" s="1102">
        <v>0</v>
      </c>
      <c r="T56" s="1508">
        <v>0.13</v>
      </c>
      <c r="U56" s="1102">
        <v>2.5</v>
      </c>
      <c r="V56" s="1102">
        <v>2.5</v>
      </c>
      <c r="W56" s="1508">
        <v>1.75</v>
      </c>
      <c r="X56" s="1515" t="e">
        <f>黄色IT野帳!Q344</f>
        <v>#N/A</v>
      </c>
      <c r="Y56" s="1005">
        <v>0.75</v>
      </c>
      <c r="Z56" s="1006">
        <v>8.44</v>
      </c>
      <c r="AA56" s="1004">
        <v>5.13</v>
      </c>
      <c r="AB56" s="1013">
        <v>0.3</v>
      </c>
      <c r="AC56" s="1014">
        <v>2.2999999999999998</v>
      </c>
      <c r="AD56" s="1009">
        <v>2.5</v>
      </c>
      <c r="AE56" s="1030">
        <v>0.5</v>
      </c>
      <c r="AF56" s="1091">
        <v>0</v>
      </c>
      <c r="AG56" s="1102">
        <v>7.25</v>
      </c>
      <c r="AH56" s="1556">
        <v>0</v>
      </c>
      <c r="AI56" s="1556">
        <v>6.25</v>
      </c>
      <c r="AJ56" s="1556">
        <v>5</v>
      </c>
      <c r="AK56" s="1556">
        <v>0.25</v>
      </c>
      <c r="AL56" s="1105" t="e">
        <f>黄色IT野帳!S344</f>
        <v>#N/A</v>
      </c>
    </row>
    <row r="57" spans="1:39">
      <c r="B57" s="1943"/>
      <c r="C57" s="1309" t="s">
        <v>192</v>
      </c>
      <c r="D57" s="1090" t="e">
        <f t="shared" si="4"/>
        <v>#N/A</v>
      </c>
      <c r="E57" s="1090" t="e">
        <f t="shared" si="1"/>
        <v>#N/A</v>
      </c>
      <c r="F57" s="1611">
        <f t="shared" ca="1" si="2"/>
        <v>0.53171428571428569</v>
      </c>
      <c r="G57" s="1611">
        <f t="shared" ca="1" si="3"/>
        <v>3.1867142857142858</v>
      </c>
      <c r="I57" s="490" t="s">
        <v>293</v>
      </c>
      <c r="J57" s="491" t="s">
        <v>302</v>
      </c>
      <c r="K57" s="586">
        <v>1.7250000000000001</v>
      </c>
      <c r="L57" s="586">
        <v>0.15</v>
      </c>
      <c r="M57" s="586">
        <v>1.67</v>
      </c>
      <c r="N57" s="812">
        <v>0.3</v>
      </c>
      <c r="O57" s="890">
        <v>0</v>
      </c>
      <c r="P57" s="1022">
        <v>0.1</v>
      </c>
      <c r="Q57" s="1030">
        <v>0.31</v>
      </c>
      <c r="R57" s="1091">
        <v>1</v>
      </c>
      <c r="S57" s="1102">
        <v>0</v>
      </c>
      <c r="T57" s="1508">
        <v>1.5</v>
      </c>
      <c r="U57" s="1102">
        <v>0</v>
      </c>
      <c r="V57" s="1102">
        <v>1.75</v>
      </c>
      <c r="W57" s="1508">
        <v>0.3571428571428571</v>
      </c>
      <c r="X57" s="1515" t="e">
        <f>黄色IT野帳!Q349</f>
        <v>#N/A</v>
      </c>
      <c r="Y57" s="1005">
        <v>0.17</v>
      </c>
      <c r="Z57" s="1006">
        <v>3.94</v>
      </c>
      <c r="AA57" s="1004">
        <v>3.23</v>
      </c>
      <c r="AB57" s="1013">
        <v>0.1</v>
      </c>
      <c r="AC57" s="1014">
        <v>0</v>
      </c>
      <c r="AD57" s="1009">
        <v>0.5</v>
      </c>
      <c r="AE57" s="1030">
        <v>0.16</v>
      </c>
      <c r="AF57" s="1091">
        <v>0</v>
      </c>
      <c r="AG57" s="1102">
        <v>0.75</v>
      </c>
      <c r="AH57" s="1556">
        <v>0</v>
      </c>
      <c r="AI57" s="1556">
        <v>0</v>
      </c>
      <c r="AJ57" s="1556">
        <v>30</v>
      </c>
      <c r="AK57" s="1556">
        <v>0.3571428571428571</v>
      </c>
      <c r="AL57" s="1105" t="e">
        <f>黄色IT野帳!S349</f>
        <v>#N/A</v>
      </c>
    </row>
    <row r="58" spans="1:39">
      <c r="B58" s="1943"/>
      <c r="C58" s="1309" t="s">
        <v>193</v>
      </c>
      <c r="D58" s="1090" t="e">
        <f t="shared" si="4"/>
        <v>#N/A</v>
      </c>
      <c r="E58" s="1090" t="e">
        <f t="shared" si="1"/>
        <v>#N/A</v>
      </c>
      <c r="F58" s="1611">
        <f t="shared" ca="1" si="2"/>
        <v>0.3972857142857143</v>
      </c>
      <c r="G58" s="1611">
        <f t="shared" ca="1" si="3"/>
        <v>0.86128571428571432</v>
      </c>
      <c r="I58" s="490"/>
      <c r="J58" s="491" t="s">
        <v>303</v>
      </c>
      <c r="K58" s="586">
        <v>1.157</v>
      </c>
      <c r="L58" s="586">
        <v>0.03</v>
      </c>
      <c r="M58" s="586">
        <v>2.5</v>
      </c>
      <c r="N58" s="812">
        <v>0.8</v>
      </c>
      <c r="O58" s="890">
        <v>0</v>
      </c>
      <c r="P58" s="1022">
        <v>0</v>
      </c>
      <c r="Q58" s="1030">
        <v>0.19</v>
      </c>
      <c r="R58" s="1091">
        <v>1.0900000000000001</v>
      </c>
      <c r="S58" s="1102">
        <v>0.25</v>
      </c>
      <c r="T58" s="1508">
        <v>0.25</v>
      </c>
      <c r="U58" s="1102">
        <v>0.75</v>
      </c>
      <c r="V58" s="1102">
        <v>0.25</v>
      </c>
      <c r="W58" s="1508">
        <v>0.39285714285714285</v>
      </c>
      <c r="X58" s="1515" t="e">
        <f>黄色IT野帳!Q354</f>
        <v>#N/A</v>
      </c>
      <c r="Y58" s="1005">
        <v>0.06</v>
      </c>
      <c r="Z58" s="1006">
        <v>1.1299999999999999</v>
      </c>
      <c r="AA58" s="1004">
        <v>12.65</v>
      </c>
      <c r="AB58" s="1013">
        <v>0.6</v>
      </c>
      <c r="AC58" s="1014">
        <v>0</v>
      </c>
      <c r="AD58" s="1009">
        <v>0</v>
      </c>
      <c r="AE58" s="1030">
        <v>0.09</v>
      </c>
      <c r="AF58" s="1091">
        <v>4.53</v>
      </c>
      <c r="AG58" s="1102">
        <v>1.25</v>
      </c>
      <c r="AH58" s="1556">
        <v>0</v>
      </c>
      <c r="AI58" s="1556">
        <v>0</v>
      </c>
      <c r="AJ58" s="1556">
        <v>2</v>
      </c>
      <c r="AK58" s="1556">
        <v>0.14285714285714285</v>
      </c>
      <c r="AL58" s="1105" t="e">
        <f>黄色IT野帳!S354</f>
        <v>#N/A</v>
      </c>
    </row>
    <row r="59" spans="1:39">
      <c r="B59" s="1943"/>
      <c r="C59" s="1309" t="s">
        <v>194</v>
      </c>
      <c r="D59" s="1090" t="e">
        <f t="shared" si="4"/>
        <v>#N/A</v>
      </c>
      <c r="E59" s="1090" t="e">
        <f t="shared" si="1"/>
        <v>#N/A</v>
      </c>
      <c r="F59" s="1611">
        <f t="shared" ca="1" si="2"/>
        <v>0.58100000000000007</v>
      </c>
      <c r="G59" s="1611">
        <f t="shared" ca="1" si="3"/>
        <v>0.49199999999999999</v>
      </c>
      <c r="I59" s="490"/>
      <c r="J59" s="491" t="s">
        <v>304</v>
      </c>
      <c r="K59" s="586">
        <v>0.17399999999999999</v>
      </c>
      <c r="L59" s="586">
        <v>0.19</v>
      </c>
      <c r="M59" s="586">
        <v>0.63</v>
      </c>
      <c r="N59" s="812">
        <v>0</v>
      </c>
      <c r="O59" s="890">
        <v>0</v>
      </c>
      <c r="P59" s="1022">
        <v>0.9</v>
      </c>
      <c r="Q59" s="1030">
        <v>1.5</v>
      </c>
      <c r="R59" s="1091">
        <v>0.66</v>
      </c>
      <c r="S59" s="1102">
        <v>0</v>
      </c>
      <c r="T59" s="1508">
        <v>0.75</v>
      </c>
      <c r="U59" s="1102">
        <v>0.25</v>
      </c>
      <c r="V59" s="1102">
        <v>0.5</v>
      </c>
      <c r="W59" s="1508">
        <v>1.25</v>
      </c>
      <c r="X59" s="1515" t="e">
        <f>黄色IT野帳!Q359</f>
        <v>#N/A</v>
      </c>
      <c r="Y59" s="1005">
        <v>0.3</v>
      </c>
      <c r="Z59" s="1006">
        <v>1.25</v>
      </c>
      <c r="AA59" s="1004">
        <v>1.56</v>
      </c>
      <c r="AB59" s="1013">
        <v>0.2</v>
      </c>
      <c r="AC59" s="1014">
        <v>0</v>
      </c>
      <c r="AD59" s="1009">
        <v>0</v>
      </c>
      <c r="AE59" s="1030">
        <v>0.25</v>
      </c>
      <c r="AF59" s="1091">
        <v>2.72</v>
      </c>
      <c r="AG59" s="1102">
        <v>0</v>
      </c>
      <c r="AH59" s="1556">
        <v>0.25</v>
      </c>
      <c r="AI59" s="1556">
        <v>0</v>
      </c>
      <c r="AJ59" s="1556">
        <v>0.75</v>
      </c>
      <c r="AK59" s="1556">
        <v>0.75</v>
      </c>
      <c r="AL59" s="1105" t="e">
        <f>黄色IT野帳!S359</f>
        <v>#N/A</v>
      </c>
    </row>
    <row r="60" spans="1:39" ht="14.5" thickBot="1">
      <c r="B60" s="1944"/>
      <c r="C60" s="1309" t="s">
        <v>195</v>
      </c>
      <c r="D60" s="1090" t="e">
        <f t="shared" si="4"/>
        <v>#N/A</v>
      </c>
      <c r="E60" s="1090" t="e">
        <f t="shared" si="1"/>
        <v>#N/A</v>
      </c>
      <c r="F60" s="1611">
        <f t="shared" ca="1" si="2"/>
        <v>0.33399999999999996</v>
      </c>
      <c r="G60" s="1611">
        <f t="shared" ca="1" si="3"/>
        <v>0.16</v>
      </c>
      <c r="I60" s="508"/>
      <c r="J60" s="509" t="s">
        <v>305</v>
      </c>
      <c r="K60" s="1092">
        <v>0.17399999999999999</v>
      </c>
      <c r="L60" s="1092">
        <v>0.56000000000000005</v>
      </c>
      <c r="M60" s="1092"/>
      <c r="N60" s="1093">
        <v>0</v>
      </c>
      <c r="O60" s="1094">
        <v>0.3</v>
      </c>
      <c r="P60" s="1095">
        <v>0</v>
      </c>
      <c r="Q60" s="1096">
        <v>1.04</v>
      </c>
      <c r="R60" s="1097">
        <v>0.75</v>
      </c>
      <c r="S60" s="1615">
        <v>0</v>
      </c>
      <c r="T60" s="1511">
        <v>0.25</v>
      </c>
      <c r="U60" s="1615">
        <v>0.25</v>
      </c>
      <c r="V60" s="1615">
        <v>0.25</v>
      </c>
      <c r="W60" s="1511">
        <v>0.5</v>
      </c>
      <c r="X60" s="1518" t="e">
        <f>黄色IT野帳!Q365</f>
        <v>#N/A</v>
      </c>
      <c r="Y60" s="1114">
        <v>0.3</v>
      </c>
      <c r="Z60" s="1115">
        <v>5.31</v>
      </c>
      <c r="AA60" s="1024"/>
      <c r="AB60" s="1116">
        <v>0.1</v>
      </c>
      <c r="AC60" s="1117">
        <v>0</v>
      </c>
      <c r="AD60" s="1118">
        <v>0</v>
      </c>
      <c r="AE60" s="1119">
        <v>0</v>
      </c>
      <c r="AF60" s="1097">
        <v>0.25</v>
      </c>
      <c r="AG60" s="1097">
        <v>0</v>
      </c>
      <c r="AH60" s="1559">
        <v>0</v>
      </c>
      <c r="AI60" s="1559">
        <v>0</v>
      </c>
      <c r="AJ60" s="1559">
        <v>0.75</v>
      </c>
      <c r="AK60" s="1559">
        <v>0.5</v>
      </c>
      <c r="AL60" s="1120" t="e">
        <f>黄色IT野帳!S365</f>
        <v>#N/A</v>
      </c>
    </row>
    <row r="61" spans="1:39">
      <c r="A61" s="588"/>
      <c r="B61" s="588"/>
      <c r="C61" s="588"/>
      <c r="D61" s="588"/>
      <c r="E61" s="588"/>
      <c r="F61" s="588"/>
      <c r="G61" s="588"/>
      <c r="I61" s="407"/>
      <c r="J61" s="529" t="s">
        <v>189</v>
      </c>
      <c r="K61" s="1033">
        <v>0.04</v>
      </c>
      <c r="L61" s="589"/>
      <c r="M61" s="589"/>
      <c r="N61" s="589"/>
      <c r="O61" s="1098"/>
      <c r="P61" s="1099"/>
      <c r="Q61" s="1099"/>
      <c r="R61" s="1026"/>
      <c r="S61" s="1026"/>
      <c r="T61" s="1399"/>
      <c r="U61" s="1026"/>
      <c r="V61" s="1026"/>
      <c r="W61" s="1399"/>
      <c r="X61" s="1519"/>
      <c r="Y61" s="1121">
        <v>1.2500000000000001E-2</v>
      </c>
      <c r="Z61" s="1122"/>
      <c r="AA61" s="1026"/>
      <c r="AB61" s="1026"/>
      <c r="AC61" s="1123"/>
      <c r="AD61" s="1124"/>
      <c r="AE61" s="1124"/>
      <c r="AF61" s="1131"/>
      <c r="AG61" s="1131"/>
      <c r="AH61" s="1132"/>
      <c r="AI61" s="1132"/>
      <c r="AJ61" s="1132"/>
      <c r="AK61" s="1132"/>
      <c r="AL61" s="1132"/>
      <c r="AM61" s="1029"/>
    </row>
    <row r="62" spans="1:39">
      <c r="A62" s="588"/>
      <c r="B62" s="588"/>
      <c r="C62" s="588"/>
      <c r="D62" s="588"/>
      <c r="E62" s="588"/>
      <c r="F62" s="588"/>
      <c r="G62" s="588"/>
      <c r="I62" s="408"/>
      <c r="J62" s="461" t="s">
        <v>190</v>
      </c>
      <c r="K62" s="1034">
        <v>0.04</v>
      </c>
      <c r="L62" s="586"/>
      <c r="M62" s="586"/>
      <c r="N62" s="586"/>
      <c r="O62" s="889"/>
      <c r="P62" s="1003"/>
      <c r="Q62" s="1003"/>
      <c r="R62" s="1133"/>
      <c r="S62" s="1004"/>
      <c r="T62" s="1361"/>
      <c r="U62" s="1004"/>
      <c r="V62" s="1004"/>
      <c r="W62" s="1361"/>
      <c r="X62" s="1520"/>
      <c r="Y62" s="1005">
        <v>1.2500000000000001E-2</v>
      </c>
      <c r="Z62" s="1006"/>
      <c r="AA62" s="1004"/>
      <c r="AB62" s="1004"/>
      <c r="AC62" s="1007"/>
      <c r="AD62" s="1009"/>
      <c r="AE62" s="1009"/>
      <c r="AF62" s="1134"/>
      <c r="AG62" s="1134"/>
      <c r="AH62" s="1135"/>
      <c r="AI62" s="1135"/>
      <c r="AJ62" s="1135"/>
      <c r="AK62" s="1135"/>
      <c r="AL62" s="1135"/>
      <c r="AM62" s="1029"/>
    </row>
    <row r="63" spans="1:39">
      <c r="A63" s="588"/>
      <c r="B63" s="588"/>
      <c r="C63" s="588"/>
      <c r="D63" s="588"/>
      <c r="E63" s="588"/>
      <c r="F63" s="588"/>
      <c r="G63" s="588"/>
      <c r="I63" s="408" t="s">
        <v>222</v>
      </c>
      <c r="J63" s="461" t="s">
        <v>192</v>
      </c>
      <c r="K63" s="1034">
        <v>0.04</v>
      </c>
      <c r="L63" s="586"/>
      <c r="M63" s="586"/>
      <c r="N63" s="586"/>
      <c r="O63" s="889"/>
      <c r="P63" s="1003"/>
      <c r="Q63" s="1003"/>
      <c r="R63" s="1133"/>
      <c r="S63" s="1004"/>
      <c r="T63" s="1361"/>
      <c r="U63" s="1004"/>
      <c r="V63" s="1004"/>
      <c r="W63" s="1361"/>
      <c r="X63" s="1520"/>
      <c r="Y63" s="1005">
        <v>1.2500000000000001E-2</v>
      </c>
      <c r="Z63" s="1006"/>
      <c r="AA63" s="1004"/>
      <c r="AB63" s="1004"/>
      <c r="AC63" s="1007"/>
      <c r="AD63" s="1009"/>
      <c r="AE63" s="1009"/>
      <c r="AF63" s="1134"/>
      <c r="AG63" s="1134"/>
      <c r="AH63" s="1135"/>
      <c r="AI63" s="1135"/>
      <c r="AJ63" s="1135"/>
      <c r="AK63" s="1135"/>
      <c r="AL63" s="1135"/>
      <c r="AM63" s="1029"/>
    </row>
    <row r="64" spans="1:39">
      <c r="A64" s="588"/>
      <c r="B64" s="588"/>
      <c r="C64" s="588"/>
      <c r="D64" s="588"/>
      <c r="E64" s="588"/>
      <c r="F64" s="588"/>
      <c r="G64" s="588"/>
      <c r="I64" s="408"/>
      <c r="J64" s="461" t="s">
        <v>193</v>
      </c>
      <c r="K64" s="1034">
        <v>0.04</v>
      </c>
      <c r="L64" s="586"/>
      <c r="M64" s="586"/>
      <c r="N64" s="586"/>
      <c r="O64" s="889"/>
      <c r="P64" s="1003"/>
      <c r="Q64" s="1003"/>
      <c r="R64" s="1133"/>
      <c r="S64" s="1004"/>
      <c r="T64" s="1361"/>
      <c r="U64" s="1004"/>
      <c r="V64" s="1004"/>
      <c r="W64" s="1361"/>
      <c r="X64" s="1520"/>
      <c r="Y64" s="1005">
        <v>1.2500000000000001E-2</v>
      </c>
      <c r="Z64" s="1006"/>
      <c r="AA64" s="1004"/>
      <c r="AB64" s="1004"/>
      <c r="AC64" s="1007"/>
      <c r="AD64" s="1009"/>
      <c r="AE64" s="1009"/>
      <c r="AF64" s="1134"/>
      <c r="AG64" s="1134"/>
      <c r="AH64" s="1135"/>
      <c r="AI64" s="1135"/>
      <c r="AJ64" s="1135"/>
      <c r="AK64" s="1135"/>
      <c r="AL64" s="1135"/>
      <c r="AM64" s="1029"/>
    </row>
    <row r="65" spans="1:39">
      <c r="A65" s="588"/>
      <c r="B65" s="588"/>
      <c r="C65" s="588"/>
      <c r="D65" s="588"/>
      <c r="E65" s="588"/>
      <c r="F65" s="588"/>
      <c r="G65" s="588"/>
      <c r="I65" s="408"/>
      <c r="J65" s="461" t="s">
        <v>194</v>
      </c>
      <c r="K65" s="1034"/>
      <c r="L65" s="586"/>
      <c r="M65" s="586"/>
      <c r="N65" s="586"/>
      <c r="O65" s="889"/>
      <c r="P65" s="1003"/>
      <c r="Q65" s="1003"/>
      <c r="R65" s="1133"/>
      <c r="S65" s="1004"/>
      <c r="T65" s="1361"/>
      <c r="U65" s="1004"/>
      <c r="V65" s="1004"/>
      <c r="W65" s="1361"/>
      <c r="X65" s="1520"/>
      <c r="Y65" s="1005">
        <v>0</v>
      </c>
      <c r="Z65" s="1006"/>
      <c r="AA65" s="1004"/>
      <c r="AB65" s="1004"/>
      <c r="AC65" s="1007"/>
      <c r="AD65" s="1009"/>
      <c r="AE65" s="1009"/>
      <c r="AF65" s="1134"/>
      <c r="AG65" s="1134"/>
      <c r="AH65" s="1135"/>
      <c r="AI65" s="1135"/>
      <c r="AJ65" s="1135"/>
      <c r="AK65" s="1135"/>
      <c r="AL65" s="1135"/>
      <c r="AM65" s="1029"/>
    </row>
    <row r="66" spans="1:39" ht="14.5" thickBot="1">
      <c r="A66" s="588"/>
      <c r="B66" s="588"/>
      <c r="C66" s="588"/>
      <c r="D66" s="588"/>
      <c r="E66" s="588"/>
      <c r="F66" s="588"/>
      <c r="G66" s="588"/>
      <c r="I66" s="472"/>
      <c r="J66" s="448" t="s">
        <v>195</v>
      </c>
      <c r="K66" s="1035"/>
      <c r="L66" s="587"/>
      <c r="M66" s="587"/>
      <c r="N66" s="587"/>
      <c r="O66" s="892"/>
      <c r="P66" s="1027"/>
      <c r="Q66" s="1027"/>
      <c r="R66" s="1136"/>
      <c r="S66" s="1018"/>
      <c r="T66" s="1362"/>
      <c r="U66" s="1018"/>
      <c r="V66" s="1018"/>
      <c r="W66" s="1362"/>
      <c r="X66" s="1521"/>
      <c r="Y66" s="1016">
        <v>0</v>
      </c>
      <c r="Z66" s="1017"/>
      <c r="AA66" s="1018"/>
      <c r="AB66" s="1018"/>
      <c r="AC66" s="1028"/>
      <c r="AD66" s="1023"/>
      <c r="AE66" s="1023"/>
      <c r="AF66" s="1137"/>
      <c r="AG66" s="1137"/>
      <c r="AH66" s="1138"/>
      <c r="AI66" s="1138"/>
      <c r="AJ66" s="1138"/>
      <c r="AK66" s="1138"/>
      <c r="AL66" s="1138"/>
      <c r="AM66" s="1029"/>
    </row>
    <row r="67" spans="1:39">
      <c r="P67" s="1029"/>
      <c r="Q67" s="1029"/>
      <c r="R67" s="1029"/>
      <c r="S67" s="1363"/>
      <c r="T67" s="1363"/>
      <c r="U67" s="1363"/>
      <c r="V67" s="1363"/>
      <c r="W67" s="1363"/>
      <c r="X67" s="1029"/>
      <c r="Y67" s="1029"/>
      <c r="Z67" s="1029"/>
      <c r="AA67" s="1029"/>
      <c r="AB67" s="1029"/>
      <c r="AC67" s="1029"/>
      <c r="AD67" s="1029"/>
      <c r="AE67" s="1029"/>
    </row>
    <row r="68" spans="1:39">
      <c r="P68" s="1029"/>
      <c r="Q68" s="1029"/>
      <c r="R68" s="1029"/>
      <c r="S68" s="1363"/>
      <c r="T68" s="1363"/>
      <c r="U68" s="1363"/>
      <c r="V68" s="1363"/>
      <c r="W68" s="1363"/>
      <c r="X68" s="1029"/>
      <c r="Y68" s="1029"/>
      <c r="Z68" s="1029"/>
      <c r="AA68" s="1029"/>
      <c r="AB68" s="1029"/>
      <c r="AC68" s="1029"/>
      <c r="AD68" s="1029"/>
      <c r="AE68" s="1029"/>
    </row>
    <row r="69" spans="1:39">
      <c r="P69" s="1029"/>
      <c r="Q69" s="1029"/>
      <c r="R69" s="1029"/>
      <c r="S69" s="1363"/>
      <c r="T69" s="1363"/>
      <c r="U69" s="1363"/>
      <c r="V69" s="1363"/>
      <c r="W69" s="1363"/>
      <c r="X69" s="1029"/>
      <c r="Y69" s="1029"/>
      <c r="Z69" s="1029"/>
      <c r="AA69" s="1029"/>
      <c r="AB69" s="1029"/>
      <c r="AC69" s="1029"/>
      <c r="AD69" s="1029"/>
      <c r="AE69" s="1029"/>
    </row>
    <row r="70" spans="1:39">
      <c r="P70" s="1029"/>
      <c r="Q70" s="1029"/>
      <c r="R70" s="1029"/>
      <c r="S70" s="1363"/>
      <c r="T70" s="1363"/>
      <c r="U70" s="1363"/>
      <c r="V70" s="1363"/>
      <c r="W70" s="1363"/>
      <c r="X70" s="1029"/>
      <c r="Y70" s="1029"/>
      <c r="Z70" s="1029"/>
      <c r="AA70" s="1029"/>
      <c r="AB70" s="1029"/>
      <c r="AC70" s="1029"/>
      <c r="AD70" s="1029"/>
      <c r="AE70" s="1029"/>
    </row>
    <row r="71" spans="1:39">
      <c r="P71" s="1029"/>
      <c r="Q71" s="1029"/>
      <c r="R71" s="1029"/>
      <c r="S71" s="1363"/>
      <c r="T71" s="1363"/>
      <c r="U71" s="1363"/>
      <c r="V71" s="1363"/>
      <c r="W71" s="1363"/>
      <c r="X71" s="1029"/>
      <c r="Y71" s="1029"/>
      <c r="Z71" s="1029"/>
      <c r="AA71" s="1029"/>
      <c r="AB71" s="1029"/>
      <c r="AC71" s="1029"/>
      <c r="AD71" s="1029"/>
      <c r="AE71" s="1029"/>
    </row>
    <row r="72" spans="1:39">
      <c r="P72" s="1029"/>
      <c r="Q72" s="1029"/>
      <c r="R72" s="1029"/>
      <c r="S72" s="1363"/>
      <c r="T72" s="1363"/>
      <c r="U72" s="1363"/>
      <c r="V72" s="1363"/>
      <c r="W72" s="1363"/>
      <c r="X72" s="1029"/>
      <c r="Y72" s="1029"/>
      <c r="Z72" s="1029"/>
      <c r="AA72" s="1029"/>
      <c r="AB72" s="1029"/>
      <c r="AC72" s="1029"/>
      <c r="AD72" s="1029"/>
      <c r="AE72" s="1029"/>
    </row>
    <row r="73" spans="1:39">
      <c r="P73" s="1029"/>
      <c r="Q73" s="1029"/>
      <c r="R73" s="1029"/>
      <c r="S73" s="1363"/>
      <c r="T73" s="1363"/>
      <c r="U73" s="1363"/>
      <c r="V73" s="1363"/>
      <c r="W73" s="1363"/>
      <c r="X73" s="1029"/>
      <c r="Y73" s="1029"/>
      <c r="Z73" s="1029"/>
      <c r="AA73" s="1029"/>
      <c r="AB73" s="1029"/>
      <c r="AC73" s="1029"/>
      <c r="AD73" s="1029"/>
      <c r="AE73" s="1029"/>
    </row>
  </sheetData>
  <mergeCells count="16">
    <mergeCell ref="B55:B60"/>
    <mergeCell ref="B7:B12"/>
    <mergeCell ref="B13:B18"/>
    <mergeCell ref="B19:B24"/>
    <mergeCell ref="B25:B30"/>
    <mergeCell ref="B31:B36"/>
    <mergeCell ref="B37:B42"/>
    <mergeCell ref="B43:B48"/>
    <mergeCell ref="B49:B54"/>
    <mergeCell ref="Y5:AL5"/>
    <mergeCell ref="K5:X5"/>
    <mergeCell ref="B2:E2"/>
    <mergeCell ref="D4:D5"/>
    <mergeCell ref="E4:E5"/>
    <mergeCell ref="F4:F5"/>
    <mergeCell ref="G4:G5"/>
  </mergeCells>
  <phoneticPr fontId="2"/>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sheetPr>
  <dimension ref="A1:AZ68"/>
  <sheetViews>
    <sheetView zoomScale="80" zoomScaleNormal="80" workbookViewId="0">
      <pane ySplit="5" topLeftCell="A6" activePane="bottomLeft" state="frozenSplit"/>
      <selection activeCell="AB14" sqref="AB14"/>
      <selection pane="bottomLeft" activeCell="B2" sqref="B2:H2"/>
    </sheetView>
  </sheetViews>
  <sheetFormatPr defaultColWidth="9" defaultRowHeight="14"/>
  <cols>
    <col min="1" max="1" width="2.6328125" style="412" customWidth="1"/>
    <col min="2" max="2" width="5.6328125" style="412" customWidth="1"/>
    <col min="3" max="3" width="6.6328125" style="412" customWidth="1"/>
    <col min="4" max="4" width="8.90625" style="412" customWidth="1"/>
    <col min="5" max="5" width="11.26953125" style="412" customWidth="1"/>
    <col min="6" max="6" width="7.08984375" style="412" customWidth="1"/>
    <col min="7" max="7" width="2.6328125" style="412" customWidth="1"/>
    <col min="8" max="8" width="7.6328125" style="412" customWidth="1"/>
    <col min="9" max="11" width="9" style="412"/>
    <col min="12" max="23" width="7.08984375" style="412" customWidth="1"/>
    <col min="24" max="28" width="7.08984375" style="1248" customWidth="1"/>
    <col min="29" max="29" width="7" style="412" customWidth="1"/>
    <col min="30" max="16384" width="9" style="412"/>
  </cols>
  <sheetData>
    <row r="1" spans="1:52" ht="6" customHeight="1">
      <c r="A1" s="403"/>
      <c r="B1" s="403"/>
      <c r="C1" s="403"/>
      <c r="D1" s="403"/>
      <c r="E1" s="403"/>
      <c r="F1" s="403"/>
      <c r="G1" s="403"/>
      <c r="H1" s="403"/>
      <c r="I1" s="403"/>
      <c r="J1" s="403"/>
      <c r="K1" s="403"/>
      <c r="L1" s="403"/>
      <c r="M1" s="403"/>
      <c r="N1" s="403"/>
      <c r="O1" s="403"/>
      <c r="P1" s="403"/>
      <c r="Q1" s="403"/>
      <c r="R1" s="403"/>
      <c r="S1" s="403"/>
      <c r="T1" s="403"/>
      <c r="U1" s="403"/>
      <c r="V1" s="403"/>
      <c r="W1" s="403"/>
      <c r="X1" s="1243"/>
      <c r="Y1" s="1243"/>
      <c r="Z1" s="1243"/>
      <c r="AA1" s="1243"/>
      <c r="AB1" s="1243"/>
      <c r="AC1" s="403"/>
      <c r="AD1" s="403"/>
      <c r="AE1" s="403"/>
      <c r="AF1" s="403"/>
      <c r="AG1" s="403"/>
      <c r="AH1" s="403"/>
      <c r="AI1" s="403"/>
      <c r="AJ1" s="403"/>
      <c r="AK1" s="403"/>
      <c r="AL1" s="403"/>
      <c r="AM1" s="403"/>
      <c r="AN1" s="403"/>
      <c r="AO1" s="403"/>
      <c r="AP1" s="403"/>
      <c r="AQ1" s="403"/>
      <c r="AR1" s="403"/>
      <c r="AS1" s="403"/>
      <c r="AT1" s="403"/>
      <c r="AU1" s="403"/>
      <c r="AV1" s="403"/>
      <c r="AW1" s="403"/>
      <c r="AX1" s="403"/>
      <c r="AY1" s="403"/>
      <c r="AZ1" s="403"/>
    </row>
    <row r="2" spans="1:52" ht="24" customHeight="1" thickBot="1">
      <c r="A2" s="403"/>
      <c r="B2" s="1890" t="s">
        <v>205</v>
      </c>
      <c r="C2" s="1890"/>
      <c r="D2" s="1890"/>
      <c r="E2" s="1890"/>
      <c r="F2" s="1890"/>
      <c r="G2" s="1890"/>
      <c r="H2" s="1890"/>
      <c r="I2" s="414"/>
      <c r="J2" s="1889">
        <v>2026</v>
      </c>
      <c r="K2" s="1889"/>
      <c r="L2" s="416"/>
      <c r="M2" s="416"/>
      <c r="P2" s="1325"/>
      <c r="Q2" s="1325"/>
      <c r="R2" s="1325"/>
      <c r="S2" s="1325"/>
      <c r="T2" s="1325"/>
      <c r="U2" s="1325"/>
      <c r="V2" s="1325"/>
      <c r="W2" s="1325"/>
      <c r="X2" s="1325"/>
      <c r="Y2" s="1325"/>
      <c r="Z2" s="1325"/>
      <c r="AA2" s="1325"/>
      <c r="AB2" s="1325"/>
      <c r="AC2" s="1325"/>
      <c r="AD2" s="403"/>
      <c r="AE2" s="403"/>
      <c r="AF2" s="403"/>
      <c r="AG2" s="403"/>
      <c r="AH2" s="403"/>
      <c r="AI2" s="403"/>
      <c r="AJ2" s="403"/>
      <c r="AK2" s="403"/>
      <c r="AL2" s="403"/>
      <c r="AM2" s="403"/>
      <c r="AN2" s="403"/>
      <c r="AO2" s="403"/>
      <c r="AP2" s="403"/>
      <c r="AQ2" s="403"/>
      <c r="AR2" s="403"/>
      <c r="AS2" s="403"/>
      <c r="AT2" s="403"/>
      <c r="AU2" s="417"/>
      <c r="AV2" s="403"/>
      <c r="AW2" s="403"/>
      <c r="AX2" s="403"/>
      <c r="AY2" s="403"/>
      <c r="AZ2" s="403"/>
    </row>
    <row r="3" spans="1:52" ht="18.5" thickBot="1">
      <c r="A3" s="403"/>
      <c r="B3" s="404"/>
      <c r="C3" s="420"/>
      <c r="D3" s="421" t="s">
        <v>206</v>
      </c>
      <c r="E3" s="804" t="s">
        <v>207</v>
      </c>
      <c r="F3" s="1885" t="s">
        <v>208</v>
      </c>
      <c r="G3" s="1885"/>
      <c r="H3" s="1886"/>
      <c r="N3" s="545"/>
      <c r="O3" s="545"/>
      <c r="P3" s="545"/>
      <c r="Q3" s="545"/>
      <c r="R3" s="545"/>
      <c r="S3" s="545"/>
      <c r="T3" s="545"/>
      <c r="U3" s="545"/>
    </row>
    <row r="4" spans="1:52" ht="15.5">
      <c r="A4" s="403"/>
      <c r="B4" s="405"/>
      <c r="C4" s="419"/>
      <c r="D4" s="427">
        <v>2026</v>
      </c>
      <c r="E4" s="1945" t="s">
        <v>328</v>
      </c>
      <c r="F4" s="775">
        <f>D4-10</f>
        <v>2016</v>
      </c>
      <c r="G4" s="431" t="s">
        <v>209</v>
      </c>
      <c r="H4" s="432">
        <f>D4-1</f>
        <v>2025</v>
      </c>
      <c r="J4" s="434"/>
      <c r="K4" s="534"/>
      <c r="L4" s="696">
        <v>2009</v>
      </c>
      <c r="M4" s="1255">
        <v>2010</v>
      </c>
      <c r="N4" s="1566">
        <v>2011</v>
      </c>
      <c r="O4" s="1255">
        <v>2012</v>
      </c>
      <c r="P4" s="440">
        <v>2013</v>
      </c>
      <c r="Q4" s="438">
        <v>2014</v>
      </c>
      <c r="R4" s="440">
        <v>2015</v>
      </c>
      <c r="S4" s="438">
        <v>2016</v>
      </c>
      <c r="T4" s="438">
        <v>2017</v>
      </c>
      <c r="U4" s="438">
        <v>2018</v>
      </c>
      <c r="V4" s="438">
        <v>2019</v>
      </c>
      <c r="W4" s="438">
        <v>2020</v>
      </c>
      <c r="X4" s="1256">
        <v>2021</v>
      </c>
      <c r="Y4" s="1256">
        <v>2022</v>
      </c>
      <c r="Z4" s="1256">
        <v>2023</v>
      </c>
      <c r="AA4" s="1256">
        <v>2024</v>
      </c>
      <c r="AB4" s="1256">
        <v>2025</v>
      </c>
      <c r="AC4" s="438">
        <v>2026</v>
      </c>
    </row>
    <row r="5" spans="1:52" ht="14.5" thickBot="1">
      <c r="A5" s="403"/>
      <c r="B5" s="406"/>
      <c r="C5" s="418"/>
      <c r="D5" s="441" t="s">
        <v>543</v>
      </c>
      <c r="E5" s="1946"/>
      <c r="F5" s="1887">
        <f>IF(OR(ISBLANK($F$4),ISBLANK($H$4)),"　ヶ年平均",$H$4-$F$4+1)</f>
        <v>10</v>
      </c>
      <c r="G5" s="1887"/>
      <c r="H5" s="1888"/>
      <c r="J5" s="406"/>
      <c r="K5" s="535"/>
      <c r="L5" s="508" t="s">
        <v>210</v>
      </c>
      <c r="M5" s="536" t="s">
        <v>211</v>
      </c>
      <c r="N5" s="537" t="s">
        <v>212</v>
      </c>
      <c r="O5" s="536" t="s">
        <v>213</v>
      </c>
      <c r="P5" s="537" t="s">
        <v>214</v>
      </c>
      <c r="Q5" s="536" t="s">
        <v>215</v>
      </c>
      <c r="R5" s="537" t="s">
        <v>216</v>
      </c>
      <c r="S5" s="538" t="s">
        <v>217</v>
      </c>
      <c r="T5" s="538" t="s">
        <v>310</v>
      </c>
      <c r="U5" s="896" t="s">
        <v>308</v>
      </c>
      <c r="V5" s="538" t="s">
        <v>315</v>
      </c>
      <c r="W5" s="896" t="s">
        <v>326</v>
      </c>
      <c r="X5" s="1289" t="s">
        <v>448</v>
      </c>
      <c r="Y5" s="1289" t="s">
        <v>330</v>
      </c>
      <c r="Z5" s="1289" t="s">
        <v>534</v>
      </c>
      <c r="AA5" s="1289" t="s">
        <v>332</v>
      </c>
      <c r="AB5" s="1289" t="s">
        <v>537</v>
      </c>
      <c r="AC5" s="1063" t="s">
        <v>543</v>
      </c>
    </row>
    <row r="6" spans="1:52">
      <c r="A6" s="403"/>
      <c r="B6" s="408"/>
      <c r="C6" s="450" t="s">
        <v>294</v>
      </c>
      <c r="D6" s="482"/>
      <c r="E6" s="1611" t="e">
        <f ca="1">AVERAGE(OFFSET(L6,0,$J$2-2009-1,1,-10))</f>
        <v>#N/A</v>
      </c>
      <c r="F6" s="453"/>
      <c r="G6" s="453"/>
      <c r="H6" s="454"/>
      <c r="J6" s="408"/>
      <c r="K6" s="484" t="s">
        <v>300</v>
      </c>
      <c r="L6" s="539"/>
      <c r="M6" s="539"/>
      <c r="N6" s="539"/>
      <c r="O6" s="539"/>
      <c r="P6" s="519"/>
      <c r="Q6" s="518"/>
      <c r="R6" s="518"/>
      <c r="S6" s="518"/>
      <c r="T6" s="518"/>
      <c r="U6" s="518"/>
      <c r="V6" s="808">
        <v>0</v>
      </c>
      <c r="W6" s="960"/>
      <c r="X6" s="1324"/>
      <c r="Y6" s="1324"/>
      <c r="Z6" s="1324" t="e">
        <v>#N/A</v>
      </c>
      <c r="AA6" s="1324">
        <v>0</v>
      </c>
      <c r="AB6" s="1324">
        <v>0</v>
      </c>
      <c r="AC6" s="1636">
        <f>黄色IT野帳!U11</f>
        <v>0</v>
      </c>
    </row>
    <row r="7" spans="1:52">
      <c r="A7" s="403"/>
      <c r="B7" s="408"/>
      <c r="C7" s="461" t="s">
        <v>295</v>
      </c>
      <c r="D7" s="482"/>
      <c r="E7" s="1611" t="e">
        <f ca="1">AVERAGE(OFFSET(L7,0,$J$2-2009-1,1,-10))</f>
        <v>#N/A</v>
      </c>
      <c r="F7" s="464"/>
      <c r="G7" s="464"/>
      <c r="H7" s="465"/>
      <c r="J7" s="408"/>
      <c r="K7" s="491" t="s">
        <v>301</v>
      </c>
      <c r="L7" s="540"/>
      <c r="M7" s="540"/>
      <c r="N7" s="540"/>
      <c r="O7" s="540"/>
      <c r="P7" s="493"/>
      <c r="Q7" s="492"/>
      <c r="R7" s="492"/>
      <c r="S7" s="492"/>
      <c r="T7" s="492"/>
      <c r="U7" s="492"/>
      <c r="V7" s="497">
        <v>0</v>
      </c>
      <c r="W7" s="957"/>
      <c r="X7" s="1276"/>
      <c r="Y7" s="1276"/>
      <c r="Z7" s="1276" t="e">
        <v>#N/A</v>
      </c>
      <c r="AA7" s="1276">
        <v>0</v>
      </c>
      <c r="AB7" s="1276">
        <v>0</v>
      </c>
      <c r="AC7" s="1569">
        <f>黄色IT野帳!U11</f>
        <v>0</v>
      </c>
    </row>
    <row r="8" spans="1:52">
      <c r="A8" s="403"/>
      <c r="B8" s="408" t="s">
        <v>275</v>
      </c>
      <c r="C8" s="461" t="s">
        <v>296</v>
      </c>
      <c r="D8" s="482"/>
      <c r="E8" s="1611" t="e">
        <f t="shared" ref="E8:E58" ca="1" si="0">AVERAGE(OFFSET(L8,0,$J$2-2009-1,1,-10))</f>
        <v>#N/A</v>
      </c>
      <c r="F8" s="464"/>
      <c r="G8" s="464"/>
      <c r="H8" s="465"/>
      <c r="J8" s="408" t="s">
        <v>286</v>
      </c>
      <c r="K8" s="491" t="s">
        <v>302</v>
      </c>
      <c r="L8" s="540"/>
      <c r="M8" s="540"/>
      <c r="N8" s="540"/>
      <c r="O8" s="540"/>
      <c r="P8" s="493"/>
      <c r="Q8" s="492"/>
      <c r="R8" s="492"/>
      <c r="S8" s="492"/>
      <c r="T8" s="492"/>
      <c r="U8" s="497"/>
      <c r="V8" s="497">
        <v>0</v>
      </c>
      <c r="W8" s="957"/>
      <c r="X8" s="1276"/>
      <c r="Y8" s="1276">
        <v>0</v>
      </c>
      <c r="Z8" s="1276" t="e">
        <v>#N/A</v>
      </c>
      <c r="AA8" s="1276">
        <v>0</v>
      </c>
      <c r="AB8" s="1276">
        <v>0</v>
      </c>
      <c r="AC8" s="1569">
        <f>黄色IT野帳!U21</f>
        <v>0</v>
      </c>
    </row>
    <row r="9" spans="1:52">
      <c r="A9" s="403"/>
      <c r="B9" s="408"/>
      <c r="C9" s="461" t="s">
        <v>297</v>
      </c>
      <c r="D9" s="482"/>
      <c r="E9" s="1611" t="e">
        <f t="shared" ca="1" si="0"/>
        <v>#N/A</v>
      </c>
      <c r="F9" s="464"/>
      <c r="G9" s="464"/>
      <c r="H9" s="465"/>
      <c r="J9" s="408"/>
      <c r="K9" s="491" t="s">
        <v>303</v>
      </c>
      <c r="L9" s="540"/>
      <c r="M9" s="540"/>
      <c r="N9" s="540"/>
      <c r="O9" s="540"/>
      <c r="P9" s="493"/>
      <c r="Q9" s="492"/>
      <c r="R9" s="492"/>
      <c r="S9" s="492"/>
      <c r="T9" s="497">
        <v>0</v>
      </c>
      <c r="U9" s="746">
        <v>0</v>
      </c>
      <c r="V9" s="746">
        <v>0</v>
      </c>
      <c r="W9" s="989"/>
      <c r="X9" s="1312"/>
      <c r="Y9" s="1312">
        <v>0</v>
      </c>
      <c r="Z9" s="1312" t="e">
        <v>#N/A</v>
      </c>
      <c r="AA9" s="1312">
        <v>0</v>
      </c>
      <c r="AB9" s="1312">
        <v>0</v>
      </c>
      <c r="AC9" s="841">
        <f>黄色IT野帳!U26</f>
        <v>0</v>
      </c>
    </row>
    <row r="10" spans="1:52">
      <c r="A10" s="403"/>
      <c r="B10" s="408"/>
      <c r="C10" s="461" t="s">
        <v>298</v>
      </c>
      <c r="D10" s="482"/>
      <c r="E10" s="1611">
        <f t="shared" ca="1" si="0"/>
        <v>0</v>
      </c>
      <c r="F10" s="464"/>
      <c r="G10" s="464"/>
      <c r="H10" s="465"/>
      <c r="J10" s="408"/>
      <c r="K10" s="491" t="s">
        <v>304</v>
      </c>
      <c r="L10" s="540"/>
      <c r="M10" s="540"/>
      <c r="N10" s="540"/>
      <c r="O10" s="540"/>
      <c r="P10" s="493"/>
      <c r="Q10" s="492"/>
      <c r="R10" s="492">
        <v>0</v>
      </c>
      <c r="S10" s="492">
        <v>0</v>
      </c>
      <c r="T10" s="497">
        <v>0</v>
      </c>
      <c r="U10" s="746">
        <v>0</v>
      </c>
      <c r="V10" s="746">
        <v>0</v>
      </c>
      <c r="W10" s="989"/>
      <c r="X10" s="1312">
        <v>0</v>
      </c>
      <c r="Y10" s="1312">
        <v>0</v>
      </c>
      <c r="Z10" s="1312">
        <v>0</v>
      </c>
      <c r="AA10" s="1312">
        <v>0</v>
      </c>
      <c r="AB10" s="1312">
        <v>0</v>
      </c>
      <c r="AC10" s="841">
        <f>黄色IT野帳!U31</f>
        <v>0</v>
      </c>
    </row>
    <row r="11" spans="1:52" ht="14.5" thickBot="1">
      <c r="A11" s="403"/>
      <c r="B11" s="1247"/>
      <c r="C11" s="1364" t="s">
        <v>299</v>
      </c>
      <c r="D11" s="902"/>
      <c r="E11" s="1612">
        <f t="shared" ca="1" si="0"/>
        <v>0.95555555555555549</v>
      </c>
      <c r="F11" s="903"/>
      <c r="G11" s="903"/>
      <c r="H11" s="901"/>
      <c r="J11" s="472"/>
      <c r="K11" s="509" t="s">
        <v>305</v>
      </c>
      <c r="L11" s="542"/>
      <c r="M11" s="542"/>
      <c r="N11" s="542"/>
      <c r="O11" s="542"/>
      <c r="P11" s="501"/>
      <c r="Q11" s="500">
        <v>0</v>
      </c>
      <c r="R11" s="500">
        <v>0</v>
      </c>
      <c r="S11" s="500">
        <v>0</v>
      </c>
      <c r="T11" s="805">
        <v>0</v>
      </c>
      <c r="U11" s="747">
        <v>0.6</v>
      </c>
      <c r="V11" s="747">
        <v>0</v>
      </c>
      <c r="W11" s="992"/>
      <c r="X11" s="1313">
        <v>8</v>
      </c>
      <c r="Y11" s="1313">
        <v>0</v>
      </c>
      <c r="Z11" s="1313">
        <v>0</v>
      </c>
      <c r="AA11" s="1313">
        <v>0</v>
      </c>
      <c r="AB11" s="1313">
        <v>0</v>
      </c>
      <c r="AC11" s="842">
        <f>黄色IT野帳!U37</f>
        <v>0</v>
      </c>
    </row>
    <row r="12" spans="1:52">
      <c r="A12" s="403"/>
      <c r="B12" s="1246"/>
      <c r="C12" s="1286" t="s">
        <v>294</v>
      </c>
      <c r="D12" s="622">
        <f ca="1">IF(ISBLANK($D$4),-20,OFFSET($L12,0,$D$4-2009,1,1))</f>
        <v>0</v>
      </c>
      <c r="E12" s="1606">
        <f t="shared" ca="1" si="0"/>
        <v>2.06</v>
      </c>
      <c r="F12" s="453"/>
      <c r="G12" s="453"/>
      <c r="H12" s="1630">
        <f>AVERAGE(O12:X12)</f>
        <v>0.49027777777777776</v>
      </c>
      <c r="I12" s="545"/>
      <c r="J12" s="434"/>
      <c r="K12" s="484" t="s">
        <v>300</v>
      </c>
      <c r="L12" s="546"/>
      <c r="M12" s="546"/>
      <c r="N12" s="546"/>
      <c r="O12" s="546"/>
      <c r="P12" s="486">
        <f>1/16</f>
        <v>6.25E-2</v>
      </c>
      <c r="Q12" s="485">
        <v>0</v>
      </c>
      <c r="R12" s="485">
        <v>0</v>
      </c>
      <c r="S12" s="485">
        <v>0.4</v>
      </c>
      <c r="T12" s="806">
        <v>0</v>
      </c>
      <c r="U12" s="748">
        <v>0.7</v>
      </c>
      <c r="V12" s="748">
        <v>0</v>
      </c>
      <c r="W12" s="993">
        <v>0</v>
      </c>
      <c r="X12" s="1314">
        <v>3.25</v>
      </c>
      <c r="Y12" s="1314">
        <v>0</v>
      </c>
      <c r="Z12" s="1314">
        <v>16.25</v>
      </c>
      <c r="AA12" s="1314">
        <v>0</v>
      </c>
      <c r="AB12" s="1314">
        <v>0</v>
      </c>
      <c r="AC12" s="843">
        <f>黄色IT野帳!U52</f>
        <v>0</v>
      </c>
    </row>
    <row r="13" spans="1:52">
      <c r="A13" s="403"/>
      <c r="B13" s="1247"/>
      <c r="C13" s="1264" t="s">
        <v>295</v>
      </c>
      <c r="D13" s="543">
        <f t="shared" ref="D13:D37" ca="1" si="1">IF(ISBLANK($D$4),-20,OFFSET($L13,0,$D$4-2009,1,1))</f>
        <v>0.7142857142857143</v>
      </c>
      <c r="E13" s="1611">
        <f t="shared" ca="1" si="0"/>
        <v>17.07</v>
      </c>
      <c r="F13" s="464"/>
      <c r="G13" s="464"/>
      <c r="H13" s="1631">
        <f t="shared" ref="H13:H59" si="2">AVERAGE(N13:W13)</f>
        <v>2.2281249999999999</v>
      </c>
      <c r="I13" s="545"/>
      <c r="J13" s="490"/>
      <c r="K13" s="491" t="s">
        <v>301</v>
      </c>
      <c r="L13" s="548"/>
      <c r="M13" s="548"/>
      <c r="N13" s="548"/>
      <c r="O13" s="548"/>
      <c r="P13" s="493">
        <f>2/16</f>
        <v>0.125</v>
      </c>
      <c r="Q13" s="492">
        <v>0</v>
      </c>
      <c r="R13" s="492">
        <v>0</v>
      </c>
      <c r="S13" s="492">
        <v>16.7</v>
      </c>
      <c r="T13" s="497">
        <v>0</v>
      </c>
      <c r="U13" s="746">
        <v>1</v>
      </c>
      <c r="V13" s="746">
        <v>0</v>
      </c>
      <c r="W13" s="989">
        <v>0</v>
      </c>
      <c r="X13" s="1312">
        <v>145</v>
      </c>
      <c r="Y13" s="1312">
        <v>0</v>
      </c>
      <c r="Z13" s="1312">
        <v>8</v>
      </c>
      <c r="AA13" s="1312">
        <v>0</v>
      </c>
      <c r="AB13" s="1312">
        <v>0</v>
      </c>
      <c r="AC13" s="841">
        <f>黄色IT野帳!U57</f>
        <v>0.7142857142857143</v>
      </c>
    </row>
    <row r="14" spans="1:52">
      <c r="A14" s="403"/>
      <c r="B14" s="1247" t="s">
        <v>276</v>
      </c>
      <c r="C14" s="1264" t="s">
        <v>296</v>
      </c>
      <c r="D14" s="1270">
        <f t="shared" ca="1" si="1"/>
        <v>1.25</v>
      </c>
      <c r="E14" s="1611">
        <f t="shared" ca="1" si="0"/>
        <v>71.664999999999992</v>
      </c>
      <c r="F14" s="464"/>
      <c r="G14" s="464"/>
      <c r="H14" s="1631">
        <f t="shared" si="2"/>
        <v>17.294444444444444</v>
      </c>
      <c r="I14" s="545"/>
      <c r="J14" s="490" t="s">
        <v>287</v>
      </c>
      <c r="K14" s="491" t="s">
        <v>302</v>
      </c>
      <c r="L14" s="548"/>
      <c r="M14" s="548">
        <v>30.045000000000002</v>
      </c>
      <c r="N14" s="548"/>
      <c r="O14" s="548">
        <v>0</v>
      </c>
      <c r="P14" s="493">
        <v>0</v>
      </c>
      <c r="Q14" s="492">
        <v>0</v>
      </c>
      <c r="R14" s="492">
        <v>0</v>
      </c>
      <c r="S14" s="492">
        <v>136.4</v>
      </c>
      <c r="T14" s="497">
        <v>0.2</v>
      </c>
      <c r="U14" s="746">
        <v>15.3</v>
      </c>
      <c r="V14" s="746">
        <v>0</v>
      </c>
      <c r="W14" s="989">
        <v>3.75</v>
      </c>
      <c r="X14" s="1312">
        <v>437.75</v>
      </c>
      <c r="Y14" s="1312">
        <v>2.25</v>
      </c>
      <c r="Z14" s="1312">
        <v>116.25</v>
      </c>
      <c r="AA14" s="1312">
        <v>4.75</v>
      </c>
      <c r="AB14" s="1312">
        <v>0</v>
      </c>
      <c r="AC14" s="841">
        <f>黄色IT野帳!U62</f>
        <v>1.25</v>
      </c>
    </row>
    <row r="15" spans="1:52">
      <c r="A15" s="403"/>
      <c r="B15" s="1247"/>
      <c r="C15" s="1264" t="s">
        <v>297</v>
      </c>
      <c r="D15" s="1270">
        <f t="shared" ca="1" si="1"/>
        <v>38.75</v>
      </c>
      <c r="E15" s="1611">
        <f t="shared" ca="1" si="0"/>
        <v>314.88299999999998</v>
      </c>
      <c r="F15" s="464"/>
      <c r="G15" s="464"/>
      <c r="H15" s="1635">
        <f t="shared" si="2"/>
        <v>137.673</v>
      </c>
      <c r="I15" s="545"/>
      <c r="J15" s="490"/>
      <c r="K15" s="491" t="s">
        <v>303</v>
      </c>
      <c r="L15" s="548"/>
      <c r="M15" s="548">
        <v>30.045000000000002</v>
      </c>
      <c r="N15" s="548">
        <v>0</v>
      </c>
      <c r="O15" s="548">
        <v>0.5</v>
      </c>
      <c r="P15" s="493">
        <v>28.274999999999999</v>
      </c>
      <c r="Q15" s="492">
        <v>0</v>
      </c>
      <c r="R15" s="492">
        <v>0.125</v>
      </c>
      <c r="S15" s="492">
        <v>619.4</v>
      </c>
      <c r="T15" s="497">
        <v>0.1</v>
      </c>
      <c r="U15" s="746">
        <v>718</v>
      </c>
      <c r="V15" s="746">
        <v>4.58</v>
      </c>
      <c r="W15" s="989">
        <v>5.75</v>
      </c>
      <c r="X15" s="1312">
        <v>1459.75</v>
      </c>
      <c r="Y15" s="1312">
        <v>18.25</v>
      </c>
      <c r="Z15" s="1312">
        <v>255.25</v>
      </c>
      <c r="AA15" s="1312">
        <v>59.5</v>
      </c>
      <c r="AB15" s="1312">
        <v>8.25</v>
      </c>
      <c r="AC15" s="841">
        <f>黄色IT野帳!U67</f>
        <v>38.75</v>
      </c>
    </row>
    <row r="16" spans="1:52">
      <c r="A16" s="403"/>
      <c r="B16" s="1247"/>
      <c r="C16" s="1264" t="s">
        <v>298</v>
      </c>
      <c r="D16" s="1270">
        <f t="shared" ca="1" si="1"/>
        <v>44.375</v>
      </c>
      <c r="E16" s="1611">
        <f t="shared" ca="1" si="0"/>
        <v>380.13200000000001</v>
      </c>
      <c r="F16" s="464"/>
      <c r="G16" s="464"/>
      <c r="H16" s="1632">
        <f t="shared" si="2"/>
        <v>219.2919</v>
      </c>
      <c r="I16" s="545"/>
      <c r="J16" s="490"/>
      <c r="K16" s="491" t="s">
        <v>304</v>
      </c>
      <c r="L16" s="548"/>
      <c r="M16" s="548">
        <v>33.680520000000001</v>
      </c>
      <c r="N16" s="548">
        <v>0</v>
      </c>
      <c r="O16" s="548">
        <v>62.25</v>
      </c>
      <c r="P16" s="493">
        <v>26</v>
      </c>
      <c r="Q16" s="492">
        <v>24.88</v>
      </c>
      <c r="R16" s="492">
        <v>146.429</v>
      </c>
      <c r="S16" s="492">
        <v>1067</v>
      </c>
      <c r="T16" s="497">
        <v>1.5</v>
      </c>
      <c r="U16" s="746">
        <v>518.4</v>
      </c>
      <c r="V16" s="746">
        <v>45.42</v>
      </c>
      <c r="W16" s="989">
        <v>301.04000000000002</v>
      </c>
      <c r="X16" s="1312">
        <v>1334.75</v>
      </c>
      <c r="Y16" s="1312">
        <v>80.5</v>
      </c>
      <c r="Z16" s="1312">
        <v>190.75</v>
      </c>
      <c r="AA16" s="1312">
        <v>191.25</v>
      </c>
      <c r="AB16" s="1312">
        <v>70.709999999999994</v>
      </c>
      <c r="AC16" s="841">
        <f>黄色IT野帳!U72</f>
        <v>44.375</v>
      </c>
    </row>
    <row r="17" spans="1:29" ht="14.5" thickBot="1">
      <c r="A17" s="403"/>
      <c r="B17" s="1267"/>
      <c r="C17" s="1261" t="s">
        <v>299</v>
      </c>
      <c r="D17" s="506">
        <f t="shared" ca="1" si="1"/>
        <v>55.3125</v>
      </c>
      <c r="E17" s="1608">
        <f t="shared" ca="1" si="0"/>
        <v>355.91314285714282</v>
      </c>
      <c r="F17" s="475"/>
      <c r="G17" s="475"/>
      <c r="H17" s="1633">
        <f t="shared" si="2"/>
        <v>553.37654166666675</v>
      </c>
      <c r="I17" s="545"/>
      <c r="J17" s="508"/>
      <c r="K17" s="509" t="s">
        <v>305</v>
      </c>
      <c r="L17" s="550"/>
      <c r="M17" s="550">
        <v>456.27605777777779</v>
      </c>
      <c r="N17" s="550">
        <v>18.510416666666664</v>
      </c>
      <c r="O17" s="550">
        <v>2464</v>
      </c>
      <c r="P17" s="511">
        <v>37</v>
      </c>
      <c r="Q17" s="510">
        <v>126.125</v>
      </c>
      <c r="R17" s="510">
        <v>376.07</v>
      </c>
      <c r="S17" s="510">
        <v>986</v>
      </c>
      <c r="T17" s="807">
        <v>104.1</v>
      </c>
      <c r="U17" s="749">
        <v>578</v>
      </c>
      <c r="V17" s="749">
        <v>27.75</v>
      </c>
      <c r="W17" s="990">
        <v>816.21</v>
      </c>
      <c r="X17" s="1315">
        <v>680.5</v>
      </c>
      <c r="Y17" s="1315">
        <v>29.75</v>
      </c>
      <c r="Z17" s="1315">
        <v>238.75</v>
      </c>
      <c r="AA17" s="1315">
        <v>62.5</v>
      </c>
      <c r="AB17" s="1315">
        <v>35.571428571428577</v>
      </c>
      <c r="AC17" s="844">
        <f>黄色IT野帳!U78</f>
        <v>55.3125</v>
      </c>
    </row>
    <row r="18" spans="1:29">
      <c r="A18" s="403"/>
      <c r="B18" s="1247"/>
      <c r="C18" s="450" t="s">
        <v>294</v>
      </c>
      <c r="D18" s="1270">
        <f t="shared" ca="1" si="1"/>
        <v>21.875</v>
      </c>
      <c r="E18" s="779">
        <f t="shared" ca="1" si="0"/>
        <v>327.7764285714286</v>
      </c>
      <c r="F18" s="711"/>
      <c r="G18" s="711"/>
      <c r="H18" s="1628">
        <f t="shared" si="2"/>
        <v>634.50083333333328</v>
      </c>
      <c r="I18" s="545"/>
      <c r="J18" s="434"/>
      <c r="K18" s="484" t="s">
        <v>300</v>
      </c>
      <c r="L18" s="551"/>
      <c r="M18" s="551">
        <v>1887.1214236111114</v>
      </c>
      <c r="N18" s="551">
        <v>164.88333333333335</v>
      </c>
      <c r="O18" s="551">
        <v>2756.5</v>
      </c>
      <c r="P18" s="519">
        <v>111.7</v>
      </c>
      <c r="Q18" s="518">
        <v>311.625</v>
      </c>
      <c r="R18" s="518">
        <v>635.25</v>
      </c>
      <c r="S18" s="518">
        <v>523</v>
      </c>
      <c r="T18" s="808">
        <v>203.3</v>
      </c>
      <c r="U18" s="745">
        <v>337</v>
      </c>
      <c r="V18" s="745">
        <v>40.25</v>
      </c>
      <c r="W18" s="988">
        <v>1261.5</v>
      </c>
      <c r="X18" s="1311">
        <v>421</v>
      </c>
      <c r="Y18" s="1311">
        <v>180.25</v>
      </c>
      <c r="Z18" s="1311">
        <v>226.25</v>
      </c>
      <c r="AA18" s="1311">
        <v>72.75</v>
      </c>
      <c r="AB18" s="1311">
        <v>12.464285714285715</v>
      </c>
      <c r="AC18" s="845">
        <f>黄色IT野帳!U93</f>
        <v>21.875</v>
      </c>
    </row>
    <row r="19" spans="1:29">
      <c r="A19" s="403"/>
      <c r="B19" s="408"/>
      <c r="C19" s="461" t="s">
        <v>295</v>
      </c>
      <c r="D19" s="482">
        <f t="shared" ca="1" si="1"/>
        <v>48.25</v>
      </c>
      <c r="E19" s="1611">
        <f t="shared" ca="1" si="0"/>
        <v>292.10500000000002</v>
      </c>
      <c r="F19" s="464"/>
      <c r="G19" s="464"/>
      <c r="H19" s="1635">
        <f t="shared" si="2"/>
        <v>692</v>
      </c>
      <c r="I19" s="545"/>
      <c r="J19" s="490"/>
      <c r="K19" s="491" t="s">
        <v>301</v>
      </c>
      <c r="L19" s="548"/>
      <c r="M19" s="548">
        <v>1255.9547569444446</v>
      </c>
      <c r="N19" s="548">
        <v>557.70000000000005</v>
      </c>
      <c r="O19" s="548">
        <v>3547.5</v>
      </c>
      <c r="P19" s="493">
        <v>168.5</v>
      </c>
      <c r="Q19" s="492">
        <v>418</v>
      </c>
      <c r="R19" s="492">
        <v>524.25</v>
      </c>
      <c r="S19" s="492">
        <v>609</v>
      </c>
      <c r="T19" s="497">
        <v>205.7</v>
      </c>
      <c r="U19" s="746">
        <v>241.8</v>
      </c>
      <c r="V19" s="746">
        <v>65.8</v>
      </c>
      <c r="W19" s="989">
        <v>581.75</v>
      </c>
      <c r="X19" s="1312">
        <v>908.25</v>
      </c>
      <c r="Y19" s="1312">
        <v>80</v>
      </c>
      <c r="Z19" s="1312">
        <v>128.75</v>
      </c>
      <c r="AA19" s="1312">
        <v>79.5</v>
      </c>
      <c r="AB19" s="1312">
        <v>20.5</v>
      </c>
      <c r="AC19" s="841">
        <f>黄色IT野帳!U98</f>
        <v>48.25</v>
      </c>
    </row>
    <row r="20" spans="1:29">
      <c r="A20" s="403"/>
      <c r="B20" s="408" t="s">
        <v>197</v>
      </c>
      <c r="C20" s="461" t="s">
        <v>296</v>
      </c>
      <c r="D20" s="482">
        <f t="shared" ca="1" si="1"/>
        <v>58.333333333333336</v>
      </c>
      <c r="E20" s="1611">
        <f t="shared" ca="1" si="0"/>
        <v>281.29899999999998</v>
      </c>
      <c r="F20" s="464"/>
      <c r="G20" s="464"/>
      <c r="H20" s="1631">
        <f t="shared" si="2"/>
        <v>494.93400000000003</v>
      </c>
      <c r="I20" s="545"/>
      <c r="J20" s="490" t="s">
        <v>197</v>
      </c>
      <c r="K20" s="491" t="s">
        <v>302</v>
      </c>
      <c r="L20" s="548"/>
      <c r="M20" s="548">
        <v>1852.6860222222224</v>
      </c>
      <c r="N20" s="548">
        <v>814.84999999999991</v>
      </c>
      <c r="O20" s="548">
        <v>608.75</v>
      </c>
      <c r="P20" s="493">
        <v>465</v>
      </c>
      <c r="Q20" s="492">
        <v>300.83</v>
      </c>
      <c r="R20" s="492">
        <v>415</v>
      </c>
      <c r="S20" s="492">
        <v>532.4</v>
      </c>
      <c r="T20" s="497">
        <v>382.8</v>
      </c>
      <c r="U20" s="746">
        <v>284.5</v>
      </c>
      <c r="V20" s="746">
        <v>149.5</v>
      </c>
      <c r="W20" s="989">
        <v>995.71</v>
      </c>
      <c r="X20" s="1312">
        <v>253.33</v>
      </c>
      <c r="Y20" s="1312">
        <v>84</v>
      </c>
      <c r="Z20" s="1312">
        <v>70</v>
      </c>
      <c r="AA20" s="1312">
        <v>32.75</v>
      </c>
      <c r="AB20" s="1312">
        <v>28</v>
      </c>
      <c r="AC20" s="841">
        <f>黄色IT野帳!U103</f>
        <v>58.333333333333336</v>
      </c>
    </row>
    <row r="21" spans="1:29">
      <c r="A21" s="403"/>
      <c r="B21" s="408"/>
      <c r="C21" s="461" t="s">
        <v>297</v>
      </c>
      <c r="D21" s="482">
        <f t="shared" ca="1" si="1"/>
        <v>51.25</v>
      </c>
      <c r="E21" s="1611">
        <f t="shared" ca="1" si="0"/>
        <v>199.20099999999999</v>
      </c>
      <c r="F21" s="464"/>
      <c r="G21" s="464"/>
      <c r="H21" s="1631">
        <f t="shared" si="2"/>
        <v>415.08525000000009</v>
      </c>
      <c r="I21" s="545"/>
      <c r="J21" s="490"/>
      <c r="K21" s="491" t="s">
        <v>303</v>
      </c>
      <c r="L21" s="548"/>
      <c r="M21" s="548">
        <v>1208.3148229166666</v>
      </c>
      <c r="N21" s="548">
        <v>1195.6375000000003</v>
      </c>
      <c r="O21" s="548">
        <v>434</v>
      </c>
      <c r="P21" s="493">
        <v>875</v>
      </c>
      <c r="Q21" s="492">
        <v>117.375</v>
      </c>
      <c r="R21" s="492">
        <v>88.5</v>
      </c>
      <c r="S21" s="492">
        <v>85.7</v>
      </c>
      <c r="T21" s="497">
        <v>288.8</v>
      </c>
      <c r="U21" s="746">
        <v>182</v>
      </c>
      <c r="V21" s="746">
        <v>148.80000000000001</v>
      </c>
      <c r="W21" s="989">
        <v>735.04</v>
      </c>
      <c r="X21" s="1312">
        <v>281.67</v>
      </c>
      <c r="Y21" s="1312">
        <v>67.25</v>
      </c>
      <c r="Z21" s="1312">
        <v>126.5</v>
      </c>
      <c r="AA21" s="1312">
        <v>36.75</v>
      </c>
      <c r="AB21" s="1312">
        <v>39.5</v>
      </c>
      <c r="AC21" s="841">
        <f>黄色IT野帳!U108</f>
        <v>51.25</v>
      </c>
    </row>
    <row r="22" spans="1:29">
      <c r="A22" s="403"/>
      <c r="B22" s="408"/>
      <c r="C22" s="461" t="s">
        <v>298</v>
      </c>
      <c r="D22" s="482">
        <f t="shared" ca="1" si="1"/>
        <v>16</v>
      </c>
      <c r="E22" s="1611">
        <f t="shared" ca="1" si="0"/>
        <v>76.458999999999989</v>
      </c>
      <c r="F22" s="464"/>
      <c r="G22" s="464"/>
      <c r="H22" s="1635">
        <f t="shared" si="2"/>
        <v>210.34375</v>
      </c>
      <c r="I22" s="545"/>
      <c r="J22" s="490"/>
      <c r="K22" s="491" t="s">
        <v>304</v>
      </c>
      <c r="L22" s="548"/>
      <c r="M22" s="548">
        <v>263.24267430555551</v>
      </c>
      <c r="N22" s="548">
        <v>544.1875</v>
      </c>
      <c r="O22" s="548">
        <v>144.75</v>
      </c>
      <c r="P22" s="493">
        <v>901.8</v>
      </c>
      <c r="Q22" s="492">
        <v>43.5</v>
      </c>
      <c r="R22" s="492">
        <v>14.9</v>
      </c>
      <c r="S22" s="492">
        <v>59.5</v>
      </c>
      <c r="T22" s="497">
        <v>137.80000000000001</v>
      </c>
      <c r="U22" s="746">
        <v>29.3</v>
      </c>
      <c r="V22" s="746">
        <v>135.19999999999999</v>
      </c>
      <c r="W22" s="989">
        <v>92.5</v>
      </c>
      <c r="X22" s="1312">
        <v>208</v>
      </c>
      <c r="Y22" s="1312">
        <v>48</v>
      </c>
      <c r="Z22" s="1312">
        <v>23.75</v>
      </c>
      <c r="AA22" s="1312">
        <v>13.25</v>
      </c>
      <c r="AB22" s="1312">
        <v>17.29</v>
      </c>
      <c r="AC22" s="841">
        <f>黄色IT野帳!U113</f>
        <v>16</v>
      </c>
    </row>
    <row r="23" spans="1:29" ht="14.5" thickBot="1">
      <c r="A23" s="403"/>
      <c r="B23" s="472"/>
      <c r="C23" s="523" t="s">
        <v>299</v>
      </c>
      <c r="D23" s="506">
        <f t="shared" ca="1" si="1"/>
        <v>4.791666666666667</v>
      </c>
      <c r="E23" s="1608">
        <f t="shared" ca="1" si="0"/>
        <v>34.890999999999998</v>
      </c>
      <c r="F23" s="475"/>
      <c r="G23" s="475"/>
      <c r="H23" s="1633">
        <f t="shared" si="2"/>
        <v>60.204479166666658</v>
      </c>
      <c r="I23" s="545"/>
      <c r="J23" s="508"/>
      <c r="K23" s="509" t="s">
        <v>305</v>
      </c>
      <c r="L23" s="553"/>
      <c r="M23" s="554">
        <v>66.582537037037042</v>
      </c>
      <c r="N23" s="554">
        <v>152.16145833333331</v>
      </c>
      <c r="O23" s="554">
        <v>77.708333333333329</v>
      </c>
      <c r="P23" s="555">
        <v>115.7</v>
      </c>
      <c r="Q23" s="556">
        <v>36.375</v>
      </c>
      <c r="R23" s="556">
        <v>6.65</v>
      </c>
      <c r="S23" s="556">
        <v>36.9</v>
      </c>
      <c r="T23" s="809">
        <v>68.7</v>
      </c>
      <c r="U23" s="897">
        <v>21.2</v>
      </c>
      <c r="V23" s="897">
        <v>50.15</v>
      </c>
      <c r="W23" s="1002">
        <v>36.5</v>
      </c>
      <c r="X23" s="1331">
        <v>72.5</v>
      </c>
      <c r="Y23" s="1331">
        <v>41.75</v>
      </c>
      <c r="Z23" s="1331">
        <v>11.75</v>
      </c>
      <c r="AA23" s="1331">
        <v>3.25</v>
      </c>
      <c r="AB23" s="1331">
        <v>6.21</v>
      </c>
      <c r="AC23" s="846">
        <f>黄色IT野帳!U119</f>
        <v>4.791666666666667</v>
      </c>
    </row>
    <row r="24" spans="1:29">
      <c r="A24" s="403"/>
      <c r="B24" s="408"/>
      <c r="C24" s="529" t="s">
        <v>294</v>
      </c>
      <c r="D24" s="774">
        <f t="shared" ca="1" si="1"/>
        <v>0.7142857142857143</v>
      </c>
      <c r="E24" s="1607">
        <f t="shared" ca="1" si="0"/>
        <v>6.4060000000000006</v>
      </c>
      <c r="F24" s="1627"/>
      <c r="G24" s="1627"/>
      <c r="H24" s="1630">
        <f t="shared" si="2"/>
        <v>23.484375000000004</v>
      </c>
      <c r="I24" s="545"/>
      <c r="J24" s="490"/>
      <c r="K24" s="484" t="s">
        <v>300</v>
      </c>
      <c r="L24" s="546"/>
      <c r="M24" s="557">
        <v>32.498458119658125</v>
      </c>
      <c r="N24" s="557">
        <v>155.84375</v>
      </c>
      <c r="O24" s="557">
        <v>7</v>
      </c>
      <c r="P24" s="558">
        <v>18.625</v>
      </c>
      <c r="Q24" s="559">
        <v>14.125</v>
      </c>
      <c r="R24" s="559">
        <v>1.4</v>
      </c>
      <c r="S24" s="559">
        <v>0.9</v>
      </c>
      <c r="T24" s="806">
        <v>14.5</v>
      </c>
      <c r="U24" s="748">
        <v>2.2999999999999998</v>
      </c>
      <c r="V24" s="748">
        <v>17.649999999999999</v>
      </c>
      <c r="W24" s="993">
        <v>2.5</v>
      </c>
      <c r="X24" s="1314">
        <v>13.96</v>
      </c>
      <c r="Y24" s="1314">
        <v>2.5</v>
      </c>
      <c r="Z24" s="1314">
        <v>8</v>
      </c>
      <c r="AA24" s="1314">
        <v>1.75</v>
      </c>
      <c r="AB24" s="1314">
        <v>0</v>
      </c>
      <c r="AC24" s="843">
        <f>黄色IT野帳!U134</f>
        <v>0.7142857142857143</v>
      </c>
    </row>
    <row r="25" spans="1:29">
      <c r="A25" s="403"/>
      <c r="B25" s="408"/>
      <c r="C25" s="461" t="s">
        <v>295</v>
      </c>
      <c r="D25" s="482">
        <f t="shared" ca="1" si="1"/>
        <v>2.0833333333333335</v>
      </c>
      <c r="E25" s="1611">
        <f t="shared" ca="1" si="0"/>
        <v>1.254</v>
      </c>
      <c r="F25" s="464"/>
      <c r="G25" s="464"/>
      <c r="H25" s="1631">
        <f t="shared" si="2"/>
        <v>3.0292000000000003</v>
      </c>
      <c r="I25" s="545"/>
      <c r="J25" s="490"/>
      <c r="K25" s="491" t="s">
        <v>301</v>
      </c>
      <c r="L25" s="548"/>
      <c r="M25" s="560">
        <v>31.569510256410258</v>
      </c>
      <c r="N25" s="560">
        <v>18</v>
      </c>
      <c r="O25" s="560">
        <v>0.75</v>
      </c>
      <c r="P25" s="561">
        <v>7.625</v>
      </c>
      <c r="Q25" s="562">
        <v>1.667</v>
      </c>
      <c r="R25" s="562">
        <v>0</v>
      </c>
      <c r="S25" s="562">
        <v>0.5</v>
      </c>
      <c r="T25" s="497">
        <v>0</v>
      </c>
      <c r="U25" s="746">
        <v>0</v>
      </c>
      <c r="V25" s="746">
        <v>0.75</v>
      </c>
      <c r="W25" s="989">
        <v>1</v>
      </c>
      <c r="X25" s="1312">
        <v>10.039999999999999</v>
      </c>
      <c r="Y25" s="1312">
        <v>0</v>
      </c>
      <c r="Z25" s="1312">
        <v>0</v>
      </c>
      <c r="AA25" s="1312">
        <v>0.25</v>
      </c>
      <c r="AB25" s="1312">
        <v>0</v>
      </c>
      <c r="AC25" s="841">
        <f>黄色IT野帳!U139</f>
        <v>2.0833333333333335</v>
      </c>
    </row>
    <row r="26" spans="1:29">
      <c r="A26" s="403"/>
      <c r="B26" s="408" t="s">
        <v>277</v>
      </c>
      <c r="C26" s="461" t="s">
        <v>296</v>
      </c>
      <c r="D26" s="482">
        <f t="shared" ca="1" si="1"/>
        <v>1.95</v>
      </c>
      <c r="E26" s="1611">
        <f t="shared" ca="1" si="0"/>
        <v>1.1300000000000001</v>
      </c>
      <c r="F26" s="464"/>
      <c r="G26" s="464"/>
      <c r="H26" s="1631">
        <f t="shared" si="2"/>
        <v>0.47062499999999996</v>
      </c>
      <c r="I26" s="545"/>
      <c r="J26" s="490" t="s">
        <v>288</v>
      </c>
      <c r="K26" s="491" t="s">
        <v>302</v>
      </c>
      <c r="L26" s="548"/>
      <c r="M26" s="560">
        <v>30.615679861111111</v>
      </c>
      <c r="N26" s="560">
        <v>1.78125</v>
      </c>
      <c r="O26" s="560">
        <v>0.25</v>
      </c>
      <c r="P26" s="561">
        <v>1.5</v>
      </c>
      <c r="Q26" s="562">
        <v>0.125</v>
      </c>
      <c r="R26" s="562">
        <v>0</v>
      </c>
      <c r="S26" s="562">
        <v>0</v>
      </c>
      <c r="T26" s="497">
        <v>0</v>
      </c>
      <c r="U26" s="746">
        <v>0.8</v>
      </c>
      <c r="V26" s="746">
        <v>0.25</v>
      </c>
      <c r="W26" s="989">
        <v>0</v>
      </c>
      <c r="X26" s="1312">
        <v>10</v>
      </c>
      <c r="Y26" s="1312">
        <v>0</v>
      </c>
      <c r="Z26" s="1312">
        <v>0</v>
      </c>
      <c r="AA26" s="1312">
        <v>0</v>
      </c>
      <c r="AB26" s="1312">
        <v>0.25</v>
      </c>
      <c r="AC26" s="841">
        <f>黄色IT野帳!U144</f>
        <v>1.95</v>
      </c>
    </row>
    <row r="27" spans="1:29">
      <c r="A27" s="403"/>
      <c r="B27" s="408"/>
      <c r="C27" s="461" t="s">
        <v>297</v>
      </c>
      <c r="D27" s="482">
        <f t="shared" ca="1" si="1"/>
        <v>0.41666666666666669</v>
      </c>
      <c r="E27" s="1611">
        <f t="shared" ca="1" si="0"/>
        <v>0.375</v>
      </c>
      <c r="F27" s="464"/>
      <c r="G27" s="464"/>
      <c r="H27" s="1631">
        <f t="shared" si="2"/>
        <v>0.50312500000000004</v>
      </c>
      <c r="I27" s="545"/>
      <c r="J27" s="490"/>
      <c r="K27" s="491" t="s">
        <v>303</v>
      </c>
      <c r="L27" s="548">
        <v>40.2699</v>
      </c>
      <c r="M27" s="560">
        <v>30.326395138888891</v>
      </c>
      <c r="N27" s="560">
        <v>3.125E-2</v>
      </c>
      <c r="O27" s="560">
        <v>1.5</v>
      </c>
      <c r="P27" s="561">
        <v>0.25</v>
      </c>
      <c r="Q27" s="562">
        <v>0</v>
      </c>
      <c r="R27" s="562">
        <v>0.25</v>
      </c>
      <c r="S27" s="562">
        <v>2.8</v>
      </c>
      <c r="T27" s="497">
        <v>0</v>
      </c>
      <c r="U27" s="746">
        <v>0.2</v>
      </c>
      <c r="V27" s="746">
        <v>0</v>
      </c>
      <c r="W27" s="989">
        <v>0</v>
      </c>
      <c r="X27" s="1312">
        <v>0.75</v>
      </c>
      <c r="Y27" s="1312">
        <v>0</v>
      </c>
      <c r="Z27" s="1312">
        <v>0</v>
      </c>
      <c r="AA27" s="1312">
        <v>0</v>
      </c>
      <c r="AB27" s="1312">
        <v>0</v>
      </c>
      <c r="AC27" s="841">
        <f>黄色IT野帳!U149</f>
        <v>0.41666666666666669</v>
      </c>
    </row>
    <row r="28" spans="1:29">
      <c r="A28" s="403"/>
      <c r="B28" s="408"/>
      <c r="C28" s="461" t="s">
        <v>298</v>
      </c>
      <c r="D28" s="482" t="e">
        <f t="shared" ca="1" si="1"/>
        <v>#N/A</v>
      </c>
      <c r="E28" s="1611">
        <f t="shared" ca="1" si="0"/>
        <v>7.3950000000000005</v>
      </c>
      <c r="F28" s="464"/>
      <c r="G28" s="464"/>
      <c r="H28" s="1631">
        <f t="shared" si="2"/>
        <v>6.891</v>
      </c>
      <c r="I28" s="545"/>
      <c r="J28" s="490"/>
      <c r="K28" s="491" t="s">
        <v>304</v>
      </c>
      <c r="L28" s="548">
        <v>44.359859999999998</v>
      </c>
      <c r="M28" s="560">
        <v>30.171233333333333</v>
      </c>
      <c r="N28" s="560">
        <v>0</v>
      </c>
      <c r="O28" s="560">
        <v>0</v>
      </c>
      <c r="P28" s="561">
        <v>0.21</v>
      </c>
      <c r="Q28" s="562">
        <v>0</v>
      </c>
      <c r="R28" s="562">
        <v>0</v>
      </c>
      <c r="S28" s="562">
        <v>65.400000000000006</v>
      </c>
      <c r="T28" s="497">
        <v>0</v>
      </c>
      <c r="U28" s="746">
        <v>3.3</v>
      </c>
      <c r="V28" s="746">
        <v>0</v>
      </c>
      <c r="W28" s="989">
        <v>0</v>
      </c>
      <c r="X28" s="1312">
        <v>3.5</v>
      </c>
      <c r="Y28" s="1312">
        <v>0.25</v>
      </c>
      <c r="Z28" s="1312">
        <v>0.5</v>
      </c>
      <c r="AA28" s="1312">
        <v>1</v>
      </c>
      <c r="AB28" s="1312">
        <v>0</v>
      </c>
      <c r="AC28" s="841" t="e">
        <f>黄色IT野帳!U154</f>
        <v>#N/A</v>
      </c>
    </row>
    <row r="29" spans="1:29" ht="14.5" thickBot="1">
      <c r="A29" s="403"/>
      <c r="B29" s="408"/>
      <c r="C29" s="1364" t="s">
        <v>299</v>
      </c>
      <c r="D29" s="902" t="e">
        <f t="shared" ca="1" si="1"/>
        <v>#N/A</v>
      </c>
      <c r="E29" s="1612">
        <f t="shared" ca="1" si="0"/>
        <v>130.46714285714285</v>
      </c>
      <c r="F29" s="903"/>
      <c r="G29" s="903"/>
      <c r="H29" s="1632">
        <f t="shared" si="2"/>
        <v>104.54811666666667</v>
      </c>
      <c r="I29" s="545"/>
      <c r="J29" s="490"/>
      <c r="K29" s="509" t="s">
        <v>305</v>
      </c>
      <c r="L29" s="550">
        <v>247.94898000000006</v>
      </c>
      <c r="M29" s="563">
        <v>35.041736111111113</v>
      </c>
      <c r="N29" s="563">
        <v>0.10416666666666666</v>
      </c>
      <c r="O29" s="563">
        <v>0</v>
      </c>
      <c r="P29" s="564">
        <v>143.04</v>
      </c>
      <c r="Q29" s="565">
        <v>25.356999999999999</v>
      </c>
      <c r="R29" s="565">
        <v>5.88</v>
      </c>
      <c r="S29" s="565">
        <v>634.79999999999995</v>
      </c>
      <c r="T29" s="807">
        <v>0</v>
      </c>
      <c r="U29" s="749">
        <v>220.3</v>
      </c>
      <c r="V29" s="749">
        <v>7.25</v>
      </c>
      <c r="W29" s="990">
        <v>8.75</v>
      </c>
      <c r="X29" s="1315">
        <v>95</v>
      </c>
      <c r="Y29" s="1315">
        <v>63</v>
      </c>
      <c r="Z29" s="1315">
        <v>257.25</v>
      </c>
      <c r="AA29" s="1315">
        <v>14.25</v>
      </c>
      <c r="AB29" s="1315">
        <v>4.0714285714285712</v>
      </c>
      <c r="AC29" s="844" t="e">
        <f>黄色IT野帳!U160</f>
        <v>#N/A</v>
      </c>
    </row>
    <row r="30" spans="1:29">
      <c r="A30" s="403"/>
      <c r="B30" s="1246"/>
      <c r="C30" s="1286" t="s">
        <v>294</v>
      </c>
      <c r="D30" s="1323" t="e">
        <f t="shared" ca="1" si="1"/>
        <v>#N/A</v>
      </c>
      <c r="E30" s="1606">
        <f t="shared" ca="1" si="0"/>
        <v>463.91885714285718</v>
      </c>
      <c r="F30" s="453"/>
      <c r="G30" s="453"/>
      <c r="H30" s="1628">
        <f t="shared" si="2"/>
        <v>391.43484999999998</v>
      </c>
      <c r="I30" s="545"/>
      <c r="J30" s="434"/>
      <c r="K30" s="484" t="s">
        <v>300</v>
      </c>
      <c r="L30" s="551">
        <v>935.59244000000012</v>
      </c>
      <c r="M30" s="551">
        <v>420.68456944444449</v>
      </c>
      <c r="N30" s="551">
        <v>83.875</v>
      </c>
      <c r="O30" s="551">
        <v>0</v>
      </c>
      <c r="P30" s="519">
        <v>141.875</v>
      </c>
      <c r="Q30" s="518">
        <v>607.23850000000004</v>
      </c>
      <c r="R30" s="518">
        <v>159.75</v>
      </c>
      <c r="S30" s="518">
        <v>1196.4000000000001</v>
      </c>
      <c r="T30" s="808">
        <v>57.6</v>
      </c>
      <c r="U30" s="745">
        <v>895.9</v>
      </c>
      <c r="V30" s="745">
        <v>464.46</v>
      </c>
      <c r="W30" s="988">
        <v>307.25</v>
      </c>
      <c r="X30" s="1311">
        <v>1295</v>
      </c>
      <c r="Y30" s="1311">
        <v>201</v>
      </c>
      <c r="Z30" s="1311">
        <v>121</v>
      </c>
      <c r="AA30" s="1311">
        <v>92.5</v>
      </c>
      <c r="AB30" s="1311">
        <v>8.0785714285714292</v>
      </c>
      <c r="AC30" s="845" t="e">
        <f>黄色IT野帳!U175</f>
        <v>#N/A</v>
      </c>
    </row>
    <row r="31" spans="1:29">
      <c r="A31" s="403"/>
      <c r="B31" s="1247"/>
      <c r="C31" s="1264" t="s">
        <v>295</v>
      </c>
      <c r="D31" s="1270" t="e">
        <f t="shared" ca="1" si="1"/>
        <v>#N/A</v>
      </c>
      <c r="E31" s="1611">
        <f t="shared" ca="1" si="0"/>
        <v>618.63700000000006</v>
      </c>
      <c r="F31" s="464"/>
      <c r="G31" s="464"/>
      <c r="H31" s="1631">
        <f t="shared" si="2"/>
        <v>947.3991666666667</v>
      </c>
      <c r="I31" s="545"/>
      <c r="J31" s="490"/>
      <c r="K31" s="491" t="s">
        <v>301</v>
      </c>
      <c r="L31" s="548">
        <v>4335.6367800000007</v>
      </c>
      <c r="M31" s="548">
        <v>3548.0967914529911</v>
      </c>
      <c r="N31" s="548">
        <v>876.74166666666679</v>
      </c>
      <c r="O31" s="548">
        <v>8.5</v>
      </c>
      <c r="P31" s="493">
        <v>1943</v>
      </c>
      <c r="Q31" s="492">
        <v>1919.08</v>
      </c>
      <c r="R31" s="492">
        <v>602.9</v>
      </c>
      <c r="S31" s="492">
        <v>754.8</v>
      </c>
      <c r="T31" s="497">
        <v>274.2</v>
      </c>
      <c r="U31" s="746">
        <v>1466.3</v>
      </c>
      <c r="V31" s="746">
        <v>718.29</v>
      </c>
      <c r="W31" s="989">
        <v>910.18</v>
      </c>
      <c r="X31" s="1312">
        <v>1519</v>
      </c>
      <c r="Y31" s="1312">
        <v>106.75</v>
      </c>
      <c r="Z31" s="1312">
        <v>395.5</v>
      </c>
      <c r="AA31" s="1312">
        <v>29.5</v>
      </c>
      <c r="AB31" s="1312">
        <v>11.85</v>
      </c>
      <c r="AC31" s="841" t="e">
        <f>黄色IT野帳!U180</f>
        <v>#N/A</v>
      </c>
    </row>
    <row r="32" spans="1:29">
      <c r="A32" s="403"/>
      <c r="B32" s="1247" t="s">
        <v>278</v>
      </c>
      <c r="C32" s="1264" t="s">
        <v>296</v>
      </c>
      <c r="D32" s="1270" t="e">
        <f t="shared" ca="1" si="1"/>
        <v>#N/A</v>
      </c>
      <c r="E32" s="1611">
        <f t="shared" ca="1" si="0"/>
        <v>627.80899999999997</v>
      </c>
      <c r="F32" s="464"/>
      <c r="G32" s="464"/>
      <c r="H32" s="1631">
        <f t="shared" si="2"/>
        <v>1046.2380833333332</v>
      </c>
      <c r="I32" s="545"/>
      <c r="J32" s="490" t="s">
        <v>289</v>
      </c>
      <c r="K32" s="491" t="s">
        <v>302</v>
      </c>
      <c r="L32" s="548">
        <v>8486.7947000000004</v>
      </c>
      <c r="M32" s="548">
        <v>8965.3889628205125</v>
      </c>
      <c r="N32" s="548">
        <v>933.57083333333333</v>
      </c>
      <c r="O32" s="548">
        <v>73.25</v>
      </c>
      <c r="P32" s="493">
        <v>2244.6999999999998</v>
      </c>
      <c r="Q32" s="492">
        <v>1339.06</v>
      </c>
      <c r="R32" s="492">
        <v>767.38</v>
      </c>
      <c r="S32" s="492">
        <v>139.19999999999999</v>
      </c>
      <c r="T32" s="497">
        <v>1279.5</v>
      </c>
      <c r="U32" s="746">
        <v>326.89999999999998</v>
      </c>
      <c r="V32" s="746">
        <v>2321</v>
      </c>
      <c r="W32" s="989">
        <v>1037.82</v>
      </c>
      <c r="X32" s="1312">
        <v>835</v>
      </c>
      <c r="Y32" s="1312">
        <v>146.66999999999999</v>
      </c>
      <c r="Z32" s="1312">
        <v>132.75</v>
      </c>
      <c r="AA32" s="1312">
        <v>56.75</v>
      </c>
      <c r="AB32" s="1312">
        <v>2.5</v>
      </c>
      <c r="AC32" s="841" t="e">
        <f>黄色IT野帳!U185</f>
        <v>#N/A</v>
      </c>
    </row>
    <row r="33" spans="1:36">
      <c r="A33" s="403"/>
      <c r="B33" s="1247"/>
      <c r="C33" s="1264" t="s">
        <v>297</v>
      </c>
      <c r="D33" s="1270" t="e">
        <f t="shared" ca="1" si="1"/>
        <v>#N/A</v>
      </c>
      <c r="E33" s="1611">
        <f t="shared" ca="1" si="0"/>
        <v>379.68899999999996</v>
      </c>
      <c r="F33" s="464"/>
      <c r="G33" s="464"/>
      <c r="H33" s="1631">
        <f t="shared" si="2"/>
        <v>741.92310714285725</v>
      </c>
      <c r="I33" s="545"/>
      <c r="J33" s="490"/>
      <c r="K33" s="491" t="s">
        <v>303</v>
      </c>
      <c r="L33" s="548">
        <v>725.52755000000002</v>
      </c>
      <c r="M33" s="548">
        <v>6142.3681944444443</v>
      </c>
      <c r="N33" s="548">
        <v>480.86607142857144</v>
      </c>
      <c r="O33" s="548">
        <v>87.75</v>
      </c>
      <c r="P33" s="493">
        <v>2179.59</v>
      </c>
      <c r="Q33" s="492">
        <v>510.875</v>
      </c>
      <c r="R33" s="492">
        <v>677.38</v>
      </c>
      <c r="S33" s="492">
        <v>37</v>
      </c>
      <c r="T33" s="497">
        <v>755.3</v>
      </c>
      <c r="U33" s="746">
        <v>66.8</v>
      </c>
      <c r="V33" s="746">
        <v>1150.42</v>
      </c>
      <c r="W33" s="989">
        <v>1473.25</v>
      </c>
      <c r="X33" s="1312">
        <v>117.25</v>
      </c>
      <c r="Y33" s="1312">
        <v>156.83000000000001</v>
      </c>
      <c r="Z33" s="1312">
        <v>6</v>
      </c>
      <c r="AA33" s="1312">
        <v>31.75</v>
      </c>
      <c r="AB33" s="1312">
        <v>2.29</v>
      </c>
      <c r="AC33" s="841" t="e">
        <f>黄色IT野帳!U190</f>
        <v>#N/A</v>
      </c>
    </row>
    <row r="34" spans="1:36">
      <c r="A34" s="403"/>
      <c r="B34" s="1247"/>
      <c r="C34" s="1264" t="s">
        <v>298</v>
      </c>
      <c r="D34" s="1270" t="e">
        <f t="shared" ca="1" si="1"/>
        <v>#N/A</v>
      </c>
      <c r="E34" s="1611">
        <f t="shared" ca="1" si="0"/>
        <v>64.267166666666668</v>
      </c>
      <c r="F34" s="464"/>
      <c r="G34" s="464"/>
      <c r="H34" s="1631">
        <f t="shared" si="2"/>
        <v>172.43428571428572</v>
      </c>
      <c r="I34" s="545"/>
      <c r="J34" s="490"/>
      <c r="K34" s="491" t="s">
        <v>304</v>
      </c>
      <c r="L34" s="548">
        <v>142.20331666666667</v>
      </c>
      <c r="M34" s="548">
        <v>1083.7146333333335</v>
      </c>
      <c r="N34" s="548">
        <v>68.392857142857139</v>
      </c>
      <c r="O34" s="548">
        <v>11.75</v>
      </c>
      <c r="P34" s="493">
        <v>819.5</v>
      </c>
      <c r="Q34" s="492">
        <v>7.75</v>
      </c>
      <c r="R34" s="492">
        <v>224.82</v>
      </c>
      <c r="S34" s="492">
        <v>15.4</v>
      </c>
      <c r="T34" s="497">
        <v>190</v>
      </c>
      <c r="U34" s="746">
        <v>0.4</v>
      </c>
      <c r="V34" s="746">
        <v>350.08</v>
      </c>
      <c r="W34" s="989">
        <v>36.25</v>
      </c>
      <c r="X34" s="1312">
        <v>41.25</v>
      </c>
      <c r="Y34" s="1312">
        <v>7.75</v>
      </c>
      <c r="Z34" s="1312">
        <v>0.5</v>
      </c>
      <c r="AA34" s="1312">
        <v>0.25</v>
      </c>
      <c r="AB34" s="1312">
        <v>0.79166666666666663</v>
      </c>
      <c r="AC34" s="841" t="e">
        <f>黄色IT野帳!U195</f>
        <v>#N/A</v>
      </c>
    </row>
    <row r="35" spans="1:36" ht="14.5" thickBot="1">
      <c r="A35" s="403"/>
      <c r="B35" s="1267"/>
      <c r="C35" s="1261" t="s">
        <v>299</v>
      </c>
      <c r="D35" s="506" t="e">
        <f t="shared" ca="1" si="1"/>
        <v>#N/A</v>
      </c>
      <c r="E35" s="1608">
        <f t="shared" ca="1" si="0"/>
        <v>6.4066666666666663</v>
      </c>
      <c r="F35" s="475"/>
      <c r="G35" s="475"/>
      <c r="H35" s="1633">
        <f t="shared" si="2"/>
        <v>16.751637896825397</v>
      </c>
      <c r="I35" s="545"/>
      <c r="J35" s="508"/>
      <c r="K35" s="509" t="s">
        <v>305</v>
      </c>
      <c r="L35" s="553">
        <v>54.018813888888893</v>
      </c>
      <c r="M35" s="553">
        <v>76.751333333333349</v>
      </c>
      <c r="N35" s="553">
        <v>18.963045634920633</v>
      </c>
      <c r="O35" s="553">
        <v>18.333333333333332</v>
      </c>
      <c r="P35" s="501">
        <v>7.29</v>
      </c>
      <c r="Q35" s="500">
        <v>8.5399999999999991</v>
      </c>
      <c r="R35" s="500">
        <v>91.99</v>
      </c>
      <c r="S35" s="500">
        <v>1.5</v>
      </c>
      <c r="T35" s="805">
        <v>0.6</v>
      </c>
      <c r="U35" s="747">
        <v>1.3</v>
      </c>
      <c r="V35" s="747">
        <v>3.25</v>
      </c>
      <c r="W35" s="992">
        <v>15.75</v>
      </c>
      <c r="X35" s="1313">
        <v>28.5</v>
      </c>
      <c r="Y35" s="1313">
        <v>5.75</v>
      </c>
      <c r="Z35" s="1313">
        <v>5</v>
      </c>
      <c r="AA35" s="1313">
        <v>2</v>
      </c>
      <c r="AB35" s="1313">
        <v>0.41666666666666663</v>
      </c>
      <c r="AC35" s="842" t="e">
        <f>黄色IT野帳!U201</f>
        <v>#N/A</v>
      </c>
    </row>
    <row r="36" spans="1:36">
      <c r="A36" s="403"/>
      <c r="B36" s="408"/>
      <c r="C36" s="450" t="s">
        <v>294</v>
      </c>
      <c r="D36" s="1270" t="e">
        <f t="shared" ca="1" si="1"/>
        <v>#N/A</v>
      </c>
      <c r="E36" s="779">
        <f t="shared" ca="1" si="0"/>
        <v>4.2309999999999999</v>
      </c>
      <c r="F36" s="711"/>
      <c r="G36" s="711"/>
      <c r="H36" s="1629">
        <f t="shared" si="2"/>
        <v>7.5198988095238093</v>
      </c>
      <c r="I36" s="545"/>
      <c r="J36" s="490"/>
      <c r="K36" s="484" t="s">
        <v>300</v>
      </c>
      <c r="L36" s="546">
        <v>35.422540000000005</v>
      </c>
      <c r="M36" s="546">
        <v>41.49015555555556</v>
      </c>
      <c r="N36" s="546">
        <v>7.6889880952380949</v>
      </c>
      <c r="O36" s="546">
        <v>13</v>
      </c>
      <c r="P36" s="486">
        <v>25.78</v>
      </c>
      <c r="Q36" s="485">
        <v>8</v>
      </c>
      <c r="R36" s="485">
        <v>0.78</v>
      </c>
      <c r="S36" s="485">
        <v>5.5</v>
      </c>
      <c r="T36" s="806">
        <v>0.2</v>
      </c>
      <c r="U36" s="748">
        <v>0.5</v>
      </c>
      <c r="V36" s="748">
        <v>3</v>
      </c>
      <c r="W36" s="993">
        <v>10.75</v>
      </c>
      <c r="X36" s="1314">
        <v>15.04</v>
      </c>
      <c r="Y36" s="1314">
        <v>2.3199999999999998</v>
      </c>
      <c r="Z36" s="1314">
        <v>3.75</v>
      </c>
      <c r="AA36" s="1314">
        <v>0.75</v>
      </c>
      <c r="AB36" s="1314">
        <v>0.5</v>
      </c>
      <c r="AC36" s="843" t="e">
        <f>黄色IT野帳!U216</f>
        <v>#N/A</v>
      </c>
    </row>
    <row r="37" spans="1:36">
      <c r="A37" s="403"/>
      <c r="B37" s="408"/>
      <c r="C37" s="461" t="s">
        <v>295</v>
      </c>
      <c r="D37" s="482" t="e">
        <f t="shared" ca="1" si="1"/>
        <v>#N/A</v>
      </c>
      <c r="E37" s="1611">
        <f t="shared" ca="1" si="0"/>
        <v>12.657</v>
      </c>
      <c r="F37" s="464"/>
      <c r="G37" s="464"/>
      <c r="H37" s="1631">
        <f t="shared" si="2"/>
        <v>22.99878571428571</v>
      </c>
      <c r="I37" s="545"/>
      <c r="J37" s="490"/>
      <c r="K37" s="491" t="s">
        <v>301</v>
      </c>
      <c r="L37" s="548">
        <v>35.195320000000002</v>
      </c>
      <c r="M37" s="548">
        <v>70.124083333333346</v>
      </c>
      <c r="N37" s="548">
        <v>8.1428571428571423</v>
      </c>
      <c r="O37" s="548">
        <v>5.75</v>
      </c>
      <c r="P37" s="493">
        <v>69.3</v>
      </c>
      <c r="Q37" s="492">
        <v>30.625</v>
      </c>
      <c r="R37" s="492">
        <v>6.53</v>
      </c>
      <c r="S37" s="492">
        <v>95.6</v>
      </c>
      <c r="T37" s="497">
        <v>3.9</v>
      </c>
      <c r="U37" s="746">
        <v>4.5999999999999996</v>
      </c>
      <c r="V37" s="746">
        <v>0.54</v>
      </c>
      <c r="W37" s="989">
        <v>5</v>
      </c>
      <c r="X37" s="1312">
        <v>1.5</v>
      </c>
      <c r="Y37" s="1312">
        <v>2.1800000000000002</v>
      </c>
      <c r="Z37" s="1312">
        <v>8</v>
      </c>
      <c r="AA37" s="1312">
        <v>5.25</v>
      </c>
      <c r="AB37" s="1312">
        <v>0</v>
      </c>
      <c r="AC37" s="841" t="e">
        <f>黄色IT野帳!U221</f>
        <v>#N/A</v>
      </c>
    </row>
    <row r="38" spans="1:36">
      <c r="A38" s="403"/>
      <c r="B38" s="408" t="s">
        <v>279</v>
      </c>
      <c r="C38" s="461" t="s">
        <v>296</v>
      </c>
      <c r="D38" s="482" t="e">
        <f t="shared" ref="D38:D59" ca="1" si="3">IF(ISBLANK($D$4),-20,OFFSET($L38,0,$D$4-2009,1,1))</f>
        <v>#N/A</v>
      </c>
      <c r="E38" s="1611">
        <f t="shared" ca="1" si="0"/>
        <v>61.968000000000004</v>
      </c>
      <c r="F38" s="464"/>
      <c r="G38" s="464"/>
      <c r="H38" s="1631">
        <f t="shared" si="2"/>
        <v>144.08449714285715</v>
      </c>
      <c r="I38" s="545"/>
      <c r="J38" s="490" t="s">
        <v>290</v>
      </c>
      <c r="K38" s="491" t="s">
        <v>302</v>
      </c>
      <c r="L38" s="548">
        <v>83.820399999999992</v>
      </c>
      <c r="M38" s="548">
        <v>706.70826388888884</v>
      </c>
      <c r="N38" s="548">
        <v>33.303571428571431</v>
      </c>
      <c r="O38" s="548">
        <v>0.75</v>
      </c>
      <c r="P38" s="493">
        <v>657.92</v>
      </c>
      <c r="Q38" s="492">
        <v>34.821399999999997</v>
      </c>
      <c r="R38" s="492">
        <v>227.5</v>
      </c>
      <c r="S38" s="492">
        <v>428.2</v>
      </c>
      <c r="T38" s="497">
        <v>19.600000000000001</v>
      </c>
      <c r="U38" s="746">
        <v>23</v>
      </c>
      <c r="V38" s="746">
        <v>4.71</v>
      </c>
      <c r="W38" s="989">
        <v>11.04</v>
      </c>
      <c r="X38" s="1312">
        <v>1</v>
      </c>
      <c r="Y38" s="1312">
        <v>10.25</v>
      </c>
      <c r="Z38" s="1312">
        <v>64.38</v>
      </c>
      <c r="AA38" s="1312">
        <v>55.5</v>
      </c>
      <c r="AB38" s="1312">
        <v>2</v>
      </c>
      <c r="AC38" s="841" t="e">
        <f>黄色IT野帳!U226</f>
        <v>#N/A</v>
      </c>
    </row>
    <row r="39" spans="1:36">
      <c r="A39" s="403"/>
      <c r="B39" s="408"/>
      <c r="C39" s="461" t="s">
        <v>297</v>
      </c>
      <c r="D39" s="482" t="e">
        <f t="shared" ca="1" si="3"/>
        <v>#N/A</v>
      </c>
      <c r="E39" s="1611">
        <f t="shared" ca="1" si="0"/>
        <v>253.44699999999997</v>
      </c>
      <c r="F39" s="464"/>
      <c r="G39" s="464"/>
      <c r="H39" s="1631">
        <f t="shared" si="2"/>
        <v>573.8610000000001</v>
      </c>
      <c r="I39" s="545"/>
      <c r="J39" s="490"/>
      <c r="K39" s="491" t="s">
        <v>303</v>
      </c>
      <c r="L39" s="548">
        <v>1287.8023750000002</v>
      </c>
      <c r="M39" s="548">
        <v>9825.1183531746028</v>
      </c>
      <c r="N39" s="548">
        <v>385.92500000000001</v>
      </c>
      <c r="O39" s="548">
        <v>95</v>
      </c>
      <c r="P39" s="493">
        <v>2236.5</v>
      </c>
      <c r="Q39" s="492">
        <v>86.875</v>
      </c>
      <c r="R39" s="492">
        <v>640.29999999999995</v>
      </c>
      <c r="S39" s="492">
        <v>837</v>
      </c>
      <c r="T39" s="497">
        <v>612.29999999999995</v>
      </c>
      <c r="U39" s="746">
        <v>29</v>
      </c>
      <c r="V39" s="746">
        <v>364.25</v>
      </c>
      <c r="W39" s="989">
        <v>451.46</v>
      </c>
      <c r="X39" s="1312">
        <v>3.75</v>
      </c>
      <c r="Y39" s="1312">
        <v>30.21</v>
      </c>
      <c r="Z39" s="1312">
        <v>135.25</v>
      </c>
      <c r="AA39" s="1312">
        <v>60</v>
      </c>
      <c r="AB39" s="1312">
        <v>11.25</v>
      </c>
      <c r="AC39" s="841" t="e">
        <f>黄色IT野帳!U231</f>
        <v>#N/A</v>
      </c>
    </row>
    <row r="40" spans="1:36">
      <c r="A40" s="403"/>
      <c r="B40" s="408"/>
      <c r="C40" s="461" t="s">
        <v>298</v>
      </c>
      <c r="D40" s="482" t="e">
        <f t="shared" ca="1" si="3"/>
        <v>#N/A</v>
      </c>
      <c r="E40" s="1611">
        <f t="shared" ca="1" si="0"/>
        <v>638.87599999999998</v>
      </c>
      <c r="F40" s="464"/>
      <c r="G40" s="464"/>
      <c r="H40" s="1631">
        <f t="shared" si="2"/>
        <v>1059.6738214285715</v>
      </c>
      <c r="I40" s="545"/>
      <c r="J40" s="490"/>
      <c r="K40" s="491" t="s">
        <v>304</v>
      </c>
      <c r="L40" s="548">
        <v>3403.0312250000002</v>
      </c>
      <c r="M40" s="548">
        <v>9825.1183531746028</v>
      </c>
      <c r="N40" s="548">
        <v>935.42321428571427</v>
      </c>
      <c r="O40" s="548">
        <v>80.75</v>
      </c>
      <c r="P40" s="493">
        <v>2659.8</v>
      </c>
      <c r="Q40" s="492">
        <v>276.625</v>
      </c>
      <c r="R40" s="492">
        <v>644.5</v>
      </c>
      <c r="S40" s="492">
        <v>929.7</v>
      </c>
      <c r="T40" s="497">
        <v>813.3</v>
      </c>
      <c r="U40" s="746">
        <v>54.6</v>
      </c>
      <c r="V40" s="746">
        <v>3316.04</v>
      </c>
      <c r="W40" s="989">
        <v>886</v>
      </c>
      <c r="X40" s="1312">
        <v>6</v>
      </c>
      <c r="Y40" s="1312">
        <v>56.54</v>
      </c>
      <c r="Z40" s="1312">
        <v>185.5</v>
      </c>
      <c r="AA40" s="1312">
        <v>136.5</v>
      </c>
      <c r="AB40" s="1312">
        <v>4.58</v>
      </c>
      <c r="AC40" s="841" t="e">
        <f>黄色IT野帳!U236</f>
        <v>#N/A</v>
      </c>
    </row>
    <row r="41" spans="1:36" ht="14.5" thickBot="1">
      <c r="A41" s="403"/>
      <c r="B41" s="408"/>
      <c r="C41" s="448" t="s">
        <v>299</v>
      </c>
      <c r="D41" s="506" t="e">
        <f t="shared" ca="1" si="3"/>
        <v>#N/A</v>
      </c>
      <c r="E41" s="1608">
        <f t="shared" ca="1" si="0"/>
        <v>767.96566666666672</v>
      </c>
      <c r="F41" s="475"/>
      <c r="G41" s="475"/>
      <c r="H41" s="1633">
        <f t="shared" si="2"/>
        <v>1042.1730873015872</v>
      </c>
      <c r="I41" s="545"/>
      <c r="J41" s="490"/>
      <c r="K41" s="509" t="s">
        <v>305</v>
      </c>
      <c r="L41" s="550">
        <v>9420.227083333335</v>
      </c>
      <c r="M41" s="550">
        <v>14798.781458333335</v>
      </c>
      <c r="N41" s="550">
        <v>1963.2242063492063</v>
      </c>
      <c r="O41" s="550">
        <v>27.916666666666668</v>
      </c>
      <c r="P41" s="511">
        <v>813.8</v>
      </c>
      <c r="Q41" s="510">
        <v>275.8</v>
      </c>
      <c r="R41" s="510">
        <v>355.5</v>
      </c>
      <c r="S41" s="510">
        <v>180.8</v>
      </c>
      <c r="T41" s="807">
        <v>461.2</v>
      </c>
      <c r="U41" s="749">
        <v>107.7</v>
      </c>
      <c r="V41" s="749">
        <v>4163.29</v>
      </c>
      <c r="W41" s="990">
        <v>2072.5</v>
      </c>
      <c r="X41" s="1315">
        <v>14.75</v>
      </c>
      <c r="Y41" s="1315">
        <v>154</v>
      </c>
      <c r="Z41" s="1315">
        <v>350.5</v>
      </c>
      <c r="AA41" s="1315">
        <v>151.25</v>
      </c>
      <c r="AB41" s="1315">
        <v>23.666666666666668</v>
      </c>
      <c r="AC41" s="844" t="e">
        <f>黄色IT野帳!U242</f>
        <v>#N/A</v>
      </c>
      <c r="AD41" s="545"/>
    </row>
    <row r="42" spans="1:36">
      <c r="A42" s="403"/>
      <c r="B42" s="407"/>
      <c r="C42" s="529" t="s">
        <v>294</v>
      </c>
      <c r="D42" s="774" t="e">
        <f t="shared" ca="1" si="3"/>
        <v>#N/A</v>
      </c>
      <c r="E42" s="779">
        <f t="shared" ca="1" si="0"/>
        <v>498.86100000000005</v>
      </c>
      <c r="F42" s="711"/>
      <c r="G42" s="711"/>
      <c r="H42" s="1629">
        <f t="shared" si="2"/>
        <v>587.17043333333334</v>
      </c>
      <c r="I42" s="545"/>
      <c r="J42" s="434"/>
      <c r="K42" s="484" t="s">
        <v>300</v>
      </c>
      <c r="L42" s="551">
        <v>2477.81032</v>
      </c>
      <c r="M42" s="551">
        <v>9470.494999999999</v>
      </c>
      <c r="N42" s="551">
        <v>359.83333333333331</v>
      </c>
      <c r="O42" s="551">
        <v>90</v>
      </c>
      <c r="P42" s="519">
        <v>347</v>
      </c>
      <c r="Q42" s="518">
        <v>361.411</v>
      </c>
      <c r="R42" s="518">
        <v>375.1</v>
      </c>
      <c r="S42" s="518">
        <v>147.80000000000001</v>
      </c>
      <c r="T42" s="808">
        <v>231.1</v>
      </c>
      <c r="U42" s="745">
        <v>63.5</v>
      </c>
      <c r="V42" s="745">
        <v>3424.92</v>
      </c>
      <c r="W42" s="988">
        <v>471.04</v>
      </c>
      <c r="X42" s="1311">
        <v>12.25</v>
      </c>
      <c r="Y42" s="1311">
        <v>195</v>
      </c>
      <c r="Z42" s="1311">
        <v>343</v>
      </c>
      <c r="AA42" s="1311">
        <v>83.75</v>
      </c>
      <c r="AB42" s="1311">
        <v>16.25</v>
      </c>
      <c r="AC42" s="845" t="e">
        <f>黄色IT野帳!U257</f>
        <v>#N/A</v>
      </c>
    </row>
    <row r="43" spans="1:36">
      <c r="A43" s="403"/>
      <c r="B43" s="408"/>
      <c r="C43" s="461" t="s">
        <v>295</v>
      </c>
      <c r="D43" s="482" t="e">
        <f t="shared" ca="1" si="3"/>
        <v>#N/A</v>
      </c>
      <c r="E43" s="1611">
        <f t="shared" ca="1" si="0"/>
        <v>212.92600000000002</v>
      </c>
      <c r="F43" s="464"/>
      <c r="G43" s="464"/>
      <c r="H43" s="1631">
        <f t="shared" si="2"/>
        <v>272.12638333333337</v>
      </c>
      <c r="I43" s="545"/>
      <c r="J43" s="490"/>
      <c r="K43" s="491" t="s">
        <v>301</v>
      </c>
      <c r="L43" s="548">
        <v>760.55729999999983</v>
      </c>
      <c r="M43" s="548">
        <v>3672.7783333333332</v>
      </c>
      <c r="N43" s="548">
        <v>277.79583333333335</v>
      </c>
      <c r="O43" s="548">
        <v>114</v>
      </c>
      <c r="P43" s="493">
        <v>187</v>
      </c>
      <c r="Q43" s="492">
        <v>185.208</v>
      </c>
      <c r="R43" s="492">
        <v>281.5</v>
      </c>
      <c r="S43" s="492">
        <v>58</v>
      </c>
      <c r="T43" s="497">
        <v>261.5</v>
      </c>
      <c r="U43" s="746">
        <v>29.8</v>
      </c>
      <c r="V43" s="746">
        <v>1105.25</v>
      </c>
      <c r="W43" s="989">
        <v>221.21</v>
      </c>
      <c r="X43" s="1312">
        <v>55</v>
      </c>
      <c r="Y43" s="1312">
        <v>112.5</v>
      </c>
      <c r="Z43" s="1312">
        <v>142.25</v>
      </c>
      <c r="AA43" s="1312">
        <v>132.75</v>
      </c>
      <c r="AB43" s="1312">
        <v>11</v>
      </c>
      <c r="AC43" s="841" t="e">
        <f>黄色IT野帳!U262</f>
        <v>#N/A</v>
      </c>
    </row>
    <row r="44" spans="1:36">
      <c r="A44" s="403"/>
      <c r="B44" s="408" t="s">
        <v>280</v>
      </c>
      <c r="C44" s="461" t="s">
        <v>296</v>
      </c>
      <c r="D44" s="482" t="e">
        <f t="shared" ca="1" si="3"/>
        <v>#N/A</v>
      </c>
      <c r="E44" s="1611">
        <f t="shared" ca="1" si="0"/>
        <v>97.183000000000007</v>
      </c>
      <c r="F44" s="464"/>
      <c r="G44" s="464"/>
      <c r="H44" s="1631">
        <f t="shared" si="2"/>
        <v>118.8877</v>
      </c>
      <c r="I44" s="545"/>
      <c r="J44" s="490" t="s">
        <v>291</v>
      </c>
      <c r="K44" s="491" t="s">
        <v>302</v>
      </c>
      <c r="L44" s="548">
        <v>145.22660500000001</v>
      </c>
      <c r="M44" s="548">
        <v>172.89905555555555</v>
      </c>
      <c r="N44" s="548">
        <v>195.64999999999998</v>
      </c>
      <c r="O44" s="548">
        <v>116.5</v>
      </c>
      <c r="P44" s="493">
        <v>106</v>
      </c>
      <c r="Q44" s="492">
        <v>76.126999999999995</v>
      </c>
      <c r="R44" s="492">
        <v>75.400000000000006</v>
      </c>
      <c r="S44" s="492">
        <v>67</v>
      </c>
      <c r="T44" s="497">
        <v>217.2</v>
      </c>
      <c r="U44" s="746">
        <v>23.8</v>
      </c>
      <c r="V44" s="746">
        <v>222.7</v>
      </c>
      <c r="W44" s="989">
        <v>88.5</v>
      </c>
      <c r="X44" s="1312">
        <v>31.75</v>
      </c>
      <c r="Y44" s="1312">
        <v>85.75</v>
      </c>
      <c r="Z44" s="1312">
        <v>103.75</v>
      </c>
      <c r="AA44" s="1312">
        <v>122</v>
      </c>
      <c r="AB44" s="1312">
        <v>9.3800000000000008</v>
      </c>
      <c r="AC44" s="841" t="e">
        <f>黄色IT野帳!U267</f>
        <v>#N/A</v>
      </c>
    </row>
    <row r="45" spans="1:36">
      <c r="A45" s="403"/>
      <c r="B45" s="408"/>
      <c r="C45" s="461" t="s">
        <v>297</v>
      </c>
      <c r="D45" s="482" t="e">
        <f t="shared" ca="1" si="3"/>
        <v>#N/A</v>
      </c>
      <c r="E45" s="1611">
        <f t="shared" ca="1" si="0"/>
        <v>65.44550000000001</v>
      </c>
      <c r="F45" s="464"/>
      <c r="G45" s="464"/>
      <c r="H45" s="1631">
        <f t="shared" si="2"/>
        <v>69.642500000000013</v>
      </c>
      <c r="I45" s="545"/>
      <c r="J45" s="490"/>
      <c r="K45" s="491" t="s">
        <v>303</v>
      </c>
      <c r="L45" s="548">
        <v>61.571775000000002</v>
      </c>
      <c r="M45" s="548">
        <v>79.86625771604939</v>
      </c>
      <c r="N45" s="548">
        <v>77.625</v>
      </c>
      <c r="O45" s="548">
        <v>75.5</v>
      </c>
      <c r="P45" s="493">
        <v>104</v>
      </c>
      <c r="Q45" s="492">
        <v>11.56</v>
      </c>
      <c r="R45" s="492">
        <v>50.3</v>
      </c>
      <c r="S45" s="492">
        <v>39</v>
      </c>
      <c r="T45" s="497">
        <v>180.8</v>
      </c>
      <c r="U45" s="746">
        <v>15.5</v>
      </c>
      <c r="V45" s="746">
        <v>126.25</v>
      </c>
      <c r="W45" s="989">
        <v>15.89</v>
      </c>
      <c r="X45" s="1312">
        <v>102.19</v>
      </c>
      <c r="Y45" s="1312">
        <v>68</v>
      </c>
      <c r="Z45" s="1312">
        <v>39</v>
      </c>
      <c r="AA45" s="1312">
        <v>65.75</v>
      </c>
      <c r="AB45" s="1312">
        <v>2.0750000000000002</v>
      </c>
      <c r="AC45" s="841" t="e">
        <f>黄色IT野帳!U272</f>
        <v>#N/A</v>
      </c>
      <c r="AI45" s="566"/>
      <c r="AJ45" s="566"/>
    </row>
    <row r="46" spans="1:36">
      <c r="A46" s="403"/>
      <c r="B46" s="408"/>
      <c r="C46" s="461" t="s">
        <v>298</v>
      </c>
      <c r="D46" s="482" t="e">
        <f t="shared" ca="1" si="3"/>
        <v>#N/A</v>
      </c>
      <c r="E46" s="1611">
        <f t="shared" ca="1" si="0"/>
        <v>40.173000000000002</v>
      </c>
      <c r="F46" s="464"/>
      <c r="G46" s="464"/>
      <c r="H46" s="1631">
        <f t="shared" si="2"/>
        <v>43.266000000000005</v>
      </c>
      <c r="I46" s="545"/>
      <c r="J46" s="490"/>
      <c r="K46" s="491" t="s">
        <v>304</v>
      </c>
      <c r="L46" s="548">
        <v>45.571700000000007</v>
      </c>
      <c r="M46" s="548">
        <v>58.476720679012345</v>
      </c>
      <c r="N46" s="548">
        <v>57.425000000000004</v>
      </c>
      <c r="O46" s="548">
        <v>31.25</v>
      </c>
      <c r="P46" s="493">
        <v>46.125</v>
      </c>
      <c r="Q46" s="492">
        <v>6.96</v>
      </c>
      <c r="R46" s="492">
        <v>76.8</v>
      </c>
      <c r="S46" s="492">
        <v>17.899999999999999</v>
      </c>
      <c r="T46" s="497">
        <v>64.5</v>
      </c>
      <c r="U46" s="746">
        <v>17.3</v>
      </c>
      <c r="V46" s="746">
        <v>98.29</v>
      </c>
      <c r="W46" s="989">
        <v>16.11</v>
      </c>
      <c r="X46" s="1312">
        <v>55.83</v>
      </c>
      <c r="Y46" s="1312">
        <v>77</v>
      </c>
      <c r="Z46" s="1312">
        <v>26.75</v>
      </c>
      <c r="AA46" s="1312">
        <v>27.5</v>
      </c>
      <c r="AB46" s="1312">
        <v>0.55000000000000004</v>
      </c>
      <c r="AC46" s="841" t="e">
        <f>黄色IT野帳!U277</f>
        <v>#N/A</v>
      </c>
    </row>
    <row r="47" spans="1:36" ht="14.5" thickBot="1">
      <c r="A47" s="403"/>
      <c r="B47" s="472"/>
      <c r="C47" s="448" t="s">
        <v>299</v>
      </c>
      <c r="D47" s="506" t="e">
        <f t="shared" ca="1" si="3"/>
        <v>#N/A</v>
      </c>
      <c r="E47" s="1608">
        <f t="shared" ca="1" si="0"/>
        <v>80.565285714285707</v>
      </c>
      <c r="F47" s="475"/>
      <c r="G47" s="475"/>
      <c r="H47" s="1633">
        <f t="shared" si="2"/>
        <v>31.28627777777778</v>
      </c>
      <c r="I47" s="545"/>
      <c r="J47" s="508"/>
      <c r="K47" s="509" t="s">
        <v>305</v>
      </c>
      <c r="L47" s="553">
        <v>39.417825000000001</v>
      </c>
      <c r="M47" s="553">
        <v>47.365557484567901</v>
      </c>
      <c r="N47" s="553">
        <v>14.752777777777776</v>
      </c>
      <c r="O47" s="553">
        <v>6.5</v>
      </c>
      <c r="P47" s="501">
        <v>3</v>
      </c>
      <c r="Q47" s="500">
        <v>6.46</v>
      </c>
      <c r="R47" s="500">
        <v>48.6</v>
      </c>
      <c r="S47" s="500">
        <v>34</v>
      </c>
      <c r="T47" s="805">
        <v>44.6</v>
      </c>
      <c r="U47" s="747">
        <v>49.7</v>
      </c>
      <c r="V47" s="747">
        <v>85.25</v>
      </c>
      <c r="W47" s="992">
        <v>20</v>
      </c>
      <c r="X47" s="1313">
        <v>57.42</v>
      </c>
      <c r="Y47" s="1313">
        <v>48.04</v>
      </c>
      <c r="Z47" s="1313">
        <v>393.5</v>
      </c>
      <c r="AA47" s="1313">
        <v>71</v>
      </c>
      <c r="AB47" s="1313">
        <v>2.1428571428571428</v>
      </c>
      <c r="AC47" s="842" t="e">
        <f>黄色IT野帳!U283</f>
        <v>#N/A</v>
      </c>
      <c r="AD47" s="545"/>
    </row>
    <row r="48" spans="1:36">
      <c r="A48" s="403"/>
      <c r="B48" s="408"/>
      <c r="C48" s="529" t="s">
        <v>294</v>
      </c>
      <c r="D48" s="774" t="e">
        <f t="shared" ca="1" si="3"/>
        <v>#N/A</v>
      </c>
      <c r="E48" s="779">
        <f t="shared" ca="1" si="0"/>
        <v>53.702714285714286</v>
      </c>
      <c r="F48" s="711"/>
      <c r="G48" s="711"/>
      <c r="H48" s="1629">
        <f t="shared" si="2"/>
        <v>40.638410714285712</v>
      </c>
      <c r="I48" s="545"/>
      <c r="J48" s="490"/>
      <c r="K48" s="484" t="s">
        <v>300</v>
      </c>
      <c r="L48" s="546">
        <v>32.222525000000005</v>
      </c>
      <c r="M48" s="546">
        <v>41.41378224206349</v>
      </c>
      <c r="N48" s="546">
        <v>7.9241071428571423</v>
      </c>
      <c r="O48" s="546">
        <v>1.25</v>
      </c>
      <c r="P48" s="486">
        <v>35.71</v>
      </c>
      <c r="Q48" s="485">
        <v>46.29</v>
      </c>
      <c r="R48" s="485">
        <v>26</v>
      </c>
      <c r="S48" s="485">
        <v>60.1</v>
      </c>
      <c r="T48" s="806">
        <v>18.2</v>
      </c>
      <c r="U48" s="748">
        <v>137.69999999999999</v>
      </c>
      <c r="V48" s="748">
        <v>65.209999999999994</v>
      </c>
      <c r="W48" s="993">
        <v>8</v>
      </c>
      <c r="X48" s="1314">
        <v>76.25</v>
      </c>
      <c r="Y48" s="1314">
        <v>34.96</v>
      </c>
      <c r="Z48" s="1314">
        <v>39.25</v>
      </c>
      <c r="AA48" s="1314">
        <v>92.5</v>
      </c>
      <c r="AB48" s="1314">
        <v>4.8571428571428568</v>
      </c>
      <c r="AC48" s="843" t="e">
        <f>黄色IT野帳!U298</f>
        <v>#N/A</v>
      </c>
    </row>
    <row r="49" spans="1:29">
      <c r="A49" s="403"/>
      <c r="B49" s="408"/>
      <c r="C49" s="461" t="s">
        <v>295</v>
      </c>
      <c r="D49" s="482" t="e">
        <f t="shared" ca="1" si="3"/>
        <v>#N/A</v>
      </c>
      <c r="E49" s="1611">
        <f t="shared" ca="1" si="0"/>
        <v>101.54599999999999</v>
      </c>
      <c r="F49" s="464"/>
      <c r="G49" s="464"/>
      <c r="H49" s="1631">
        <f t="shared" si="2"/>
        <v>89.107535714285717</v>
      </c>
      <c r="I49" s="545"/>
      <c r="J49" s="490"/>
      <c r="K49" s="491" t="s">
        <v>301</v>
      </c>
      <c r="L49" s="548">
        <v>33.074600000000004</v>
      </c>
      <c r="M49" s="548">
        <v>53.68154761904762</v>
      </c>
      <c r="N49" s="548">
        <v>9.8553571428571445</v>
      </c>
      <c r="O49" s="548">
        <v>27.25</v>
      </c>
      <c r="P49" s="493">
        <v>79.349999999999994</v>
      </c>
      <c r="Q49" s="492">
        <v>28.75</v>
      </c>
      <c r="R49" s="492">
        <v>62.8</v>
      </c>
      <c r="S49" s="492">
        <v>77.599999999999994</v>
      </c>
      <c r="T49" s="497">
        <v>210.8</v>
      </c>
      <c r="U49" s="746">
        <v>126</v>
      </c>
      <c r="V49" s="746">
        <v>196.79</v>
      </c>
      <c r="W49" s="989">
        <v>71.88</v>
      </c>
      <c r="X49" s="1312">
        <v>28</v>
      </c>
      <c r="Y49" s="1312">
        <v>19</v>
      </c>
      <c r="Z49" s="1312">
        <v>74.75</v>
      </c>
      <c r="AA49" s="1312">
        <v>181</v>
      </c>
      <c r="AB49" s="1312">
        <v>29.64</v>
      </c>
      <c r="AC49" s="841" t="e">
        <f>黄色IT野帳!U303</f>
        <v>#N/A</v>
      </c>
    </row>
    <row r="50" spans="1:29">
      <c r="A50" s="403"/>
      <c r="B50" s="408" t="s">
        <v>281</v>
      </c>
      <c r="C50" s="461" t="s">
        <v>296</v>
      </c>
      <c r="D50" s="482" t="e">
        <f t="shared" ca="1" si="3"/>
        <v>#N/A</v>
      </c>
      <c r="E50" s="1611">
        <f t="shared" ca="1" si="0"/>
        <v>248.76096428571427</v>
      </c>
      <c r="F50" s="464"/>
      <c r="G50" s="464"/>
      <c r="H50" s="1631">
        <f t="shared" si="2"/>
        <v>254.78833333333333</v>
      </c>
      <c r="I50" s="545"/>
      <c r="J50" s="490" t="s">
        <v>292</v>
      </c>
      <c r="K50" s="491" t="s">
        <v>302</v>
      </c>
      <c r="L50" s="548">
        <v>40.564444444444447</v>
      </c>
      <c r="M50" s="548">
        <v>72.874166666666667</v>
      </c>
      <c r="N50" s="548">
        <v>15.683333333333334</v>
      </c>
      <c r="O50" s="548">
        <v>22.25</v>
      </c>
      <c r="P50" s="493">
        <v>59.06</v>
      </c>
      <c r="Q50" s="492">
        <v>38.75</v>
      </c>
      <c r="R50" s="492">
        <v>255.7</v>
      </c>
      <c r="S50" s="492">
        <v>41.4</v>
      </c>
      <c r="T50" s="497">
        <v>83.7</v>
      </c>
      <c r="U50" s="746">
        <v>115.8</v>
      </c>
      <c r="V50" s="746">
        <v>1802.92</v>
      </c>
      <c r="W50" s="989">
        <v>112.62</v>
      </c>
      <c r="X50" s="1312">
        <v>5.5</v>
      </c>
      <c r="Y50" s="1312">
        <v>43.5</v>
      </c>
      <c r="Z50" s="1312">
        <v>140.25</v>
      </c>
      <c r="AA50" s="1312">
        <v>116.75</v>
      </c>
      <c r="AB50" s="1312">
        <v>25.169642857142858</v>
      </c>
      <c r="AC50" s="841" t="e">
        <f>黄色IT野帳!U308</f>
        <v>#N/A</v>
      </c>
    </row>
    <row r="51" spans="1:29">
      <c r="A51" s="403"/>
      <c r="B51" s="408"/>
      <c r="C51" s="461" t="s">
        <v>297</v>
      </c>
      <c r="D51" s="482" t="e">
        <f t="shared" ca="1" si="3"/>
        <v>#N/A</v>
      </c>
      <c r="E51" s="1611">
        <f t="shared" ca="1" si="0"/>
        <v>230.15875</v>
      </c>
      <c r="F51" s="464"/>
      <c r="G51" s="464"/>
      <c r="H51" s="1631">
        <f t="shared" si="2"/>
        <v>240.27259523809525</v>
      </c>
      <c r="I51" s="545"/>
      <c r="J51" s="490"/>
      <c r="K51" s="491" t="s">
        <v>303</v>
      </c>
      <c r="L51" s="548">
        <v>49.442855555555553</v>
      </c>
      <c r="M51" s="548">
        <v>133.7667222222222</v>
      </c>
      <c r="N51" s="548">
        <v>43.455952380952382</v>
      </c>
      <c r="O51" s="567">
        <v>42.75</v>
      </c>
      <c r="P51" s="568">
        <v>63.02</v>
      </c>
      <c r="Q51" s="569">
        <v>20.25</v>
      </c>
      <c r="R51" s="569">
        <v>417.1</v>
      </c>
      <c r="S51" s="570">
        <v>130.4</v>
      </c>
      <c r="T51" s="569">
        <v>37</v>
      </c>
      <c r="U51" s="570">
        <v>229</v>
      </c>
      <c r="V51" s="570">
        <v>1346.5</v>
      </c>
      <c r="W51" s="1127">
        <v>73.25</v>
      </c>
      <c r="X51" s="1291">
        <v>1.25</v>
      </c>
      <c r="Y51" s="1291">
        <v>33.75</v>
      </c>
      <c r="Z51" s="1291">
        <v>180.75</v>
      </c>
      <c r="AA51" s="1291">
        <v>247.75</v>
      </c>
      <c r="AB51" s="1291">
        <v>21.9375</v>
      </c>
      <c r="AC51" s="847" t="e">
        <f>黄色IT野帳!U313</f>
        <v>#N/A</v>
      </c>
    </row>
    <row r="52" spans="1:29">
      <c r="A52" s="403"/>
      <c r="B52" s="408"/>
      <c r="C52" s="461" t="s">
        <v>298</v>
      </c>
      <c r="D52" s="482" t="e">
        <f t="shared" ca="1" si="3"/>
        <v>#N/A</v>
      </c>
      <c r="E52" s="1611">
        <f t="shared" ca="1" si="0"/>
        <v>255.44625000000002</v>
      </c>
      <c r="F52" s="464"/>
      <c r="G52" s="464"/>
      <c r="H52" s="1631">
        <f t="shared" si="2"/>
        <v>287.83855059523813</v>
      </c>
      <c r="I52" s="545"/>
      <c r="J52" s="490"/>
      <c r="K52" s="491" t="s">
        <v>304</v>
      </c>
      <c r="L52" s="548">
        <v>70.50278333333334</v>
      </c>
      <c r="M52" s="548">
        <v>222.40055555555557</v>
      </c>
      <c r="N52" s="548">
        <v>94.830505952380946</v>
      </c>
      <c r="O52" s="567">
        <v>25</v>
      </c>
      <c r="P52" s="571">
        <v>84.474999999999994</v>
      </c>
      <c r="Q52" s="572">
        <v>96.88</v>
      </c>
      <c r="R52" s="572">
        <v>209.3</v>
      </c>
      <c r="S52" s="573">
        <v>29.9</v>
      </c>
      <c r="T52" s="572">
        <v>48.9</v>
      </c>
      <c r="U52" s="573">
        <v>164.6</v>
      </c>
      <c r="V52" s="573">
        <v>2085.75</v>
      </c>
      <c r="W52" s="1128">
        <v>38.75</v>
      </c>
      <c r="X52" s="1293">
        <v>0</v>
      </c>
      <c r="Y52" s="1293">
        <v>38.5</v>
      </c>
      <c r="Z52" s="1293">
        <v>45.25</v>
      </c>
      <c r="AA52" s="1293">
        <v>89.75</v>
      </c>
      <c r="AB52" s="1293">
        <v>13.0625</v>
      </c>
      <c r="AC52" s="848" t="e">
        <f>黄色IT野帳!U318</f>
        <v>#N/A</v>
      </c>
    </row>
    <row r="53" spans="1:29" ht="14.5" thickBot="1">
      <c r="A53" s="403"/>
      <c r="B53" s="408"/>
      <c r="C53" s="448" t="s">
        <v>299</v>
      </c>
      <c r="D53" s="506" t="e">
        <f t="shared" ca="1" si="3"/>
        <v>#N/A</v>
      </c>
      <c r="E53" s="1608">
        <f t="shared" ca="1" si="0"/>
        <v>124.50425</v>
      </c>
      <c r="F53" s="475"/>
      <c r="G53" s="475"/>
      <c r="H53" s="1633">
        <f t="shared" si="2"/>
        <v>156.13794791666663</v>
      </c>
      <c r="I53" s="545"/>
      <c r="J53" s="490"/>
      <c r="K53" s="509" t="s">
        <v>305</v>
      </c>
      <c r="L53" s="550">
        <v>107.57330555555555</v>
      </c>
      <c r="M53" s="550">
        <v>465.17430555555558</v>
      </c>
      <c r="N53" s="550">
        <v>125.26614583333333</v>
      </c>
      <c r="O53" s="574">
        <v>27.083333333333332</v>
      </c>
      <c r="P53" s="575">
        <v>125.94</v>
      </c>
      <c r="Q53" s="576">
        <v>51.16</v>
      </c>
      <c r="R53" s="576">
        <v>106.7</v>
      </c>
      <c r="S53" s="577">
        <v>57.4</v>
      </c>
      <c r="T53" s="576">
        <v>62.2</v>
      </c>
      <c r="U53" s="577">
        <v>98.5</v>
      </c>
      <c r="V53" s="577">
        <v>804.38</v>
      </c>
      <c r="W53" s="1129">
        <v>102.75</v>
      </c>
      <c r="X53" s="1295">
        <v>2.25</v>
      </c>
      <c r="Y53" s="1295">
        <v>12.75</v>
      </c>
      <c r="Z53" s="1295">
        <v>82.25</v>
      </c>
      <c r="AA53" s="1295">
        <v>20.5</v>
      </c>
      <c r="AB53" s="1295">
        <v>2.0625</v>
      </c>
      <c r="AC53" s="849" t="e">
        <f>黄色IT野帳!U324</f>
        <v>#N/A</v>
      </c>
    </row>
    <row r="54" spans="1:29">
      <c r="A54" s="403"/>
      <c r="B54" s="407"/>
      <c r="C54" s="529" t="s">
        <v>294</v>
      </c>
      <c r="D54" s="774" t="e">
        <f t="shared" ca="1" si="3"/>
        <v>#N/A</v>
      </c>
      <c r="E54" s="779">
        <f t="shared" ca="1" si="0"/>
        <v>45.741499999999995</v>
      </c>
      <c r="F54" s="711"/>
      <c r="G54" s="711"/>
      <c r="H54" s="1629">
        <f t="shared" si="2"/>
        <v>62.49513095238094</v>
      </c>
      <c r="I54" s="545"/>
      <c r="J54" s="434"/>
      <c r="K54" s="484" t="s">
        <v>300</v>
      </c>
      <c r="L54" s="551">
        <v>103.26033333333332</v>
      </c>
      <c r="M54" s="551">
        <v>61.646269841269842</v>
      </c>
      <c r="N54" s="551">
        <v>127.11130952380951</v>
      </c>
      <c r="O54" s="578">
        <v>8</v>
      </c>
      <c r="P54" s="571">
        <v>11.7</v>
      </c>
      <c r="Q54" s="572">
        <v>19.5</v>
      </c>
      <c r="R54" s="572">
        <v>122.1</v>
      </c>
      <c r="S54" s="573">
        <v>2.8</v>
      </c>
      <c r="T54" s="572">
        <v>43.5</v>
      </c>
      <c r="U54" s="573">
        <v>39.799999999999997</v>
      </c>
      <c r="V54" s="573">
        <v>197.19</v>
      </c>
      <c r="W54" s="1128">
        <v>53.25</v>
      </c>
      <c r="X54" s="1293">
        <v>1</v>
      </c>
      <c r="Y54" s="1293">
        <v>13.75</v>
      </c>
      <c r="Z54" s="1293">
        <v>82</v>
      </c>
      <c r="AA54" s="1293">
        <v>23.5</v>
      </c>
      <c r="AB54" s="1293">
        <v>0.625</v>
      </c>
      <c r="AC54" s="848" t="e">
        <f>黄色IT野帳!U339</f>
        <v>#N/A</v>
      </c>
    </row>
    <row r="55" spans="1:29">
      <c r="A55" s="403"/>
      <c r="B55" s="408"/>
      <c r="C55" s="461" t="s">
        <v>295</v>
      </c>
      <c r="D55" s="482" t="e">
        <f t="shared" ca="1" si="3"/>
        <v>#N/A</v>
      </c>
      <c r="E55" s="1611">
        <f t="shared" ca="1" si="0"/>
        <v>32.100999999999999</v>
      </c>
      <c r="F55" s="464"/>
      <c r="G55" s="464"/>
      <c r="H55" s="1631">
        <f t="shared" si="2"/>
        <v>57.560525297619051</v>
      </c>
      <c r="I55" s="545"/>
      <c r="J55" s="490"/>
      <c r="K55" s="491" t="s">
        <v>301</v>
      </c>
      <c r="L55" s="548">
        <v>63.086575000000011</v>
      </c>
      <c r="M55" s="548">
        <v>63.664285714285718</v>
      </c>
      <c r="N55" s="548">
        <v>93.265252976190467</v>
      </c>
      <c r="O55" s="567">
        <v>8</v>
      </c>
      <c r="P55" s="571">
        <v>17.75</v>
      </c>
      <c r="Q55" s="572">
        <v>31.98</v>
      </c>
      <c r="R55" s="572">
        <v>146.6</v>
      </c>
      <c r="S55" s="573">
        <v>1.9</v>
      </c>
      <c r="T55" s="572">
        <v>43</v>
      </c>
      <c r="U55" s="573">
        <v>48.8</v>
      </c>
      <c r="V55" s="573">
        <v>152.81</v>
      </c>
      <c r="W55" s="1128">
        <v>31.5</v>
      </c>
      <c r="X55" s="1293">
        <v>0</v>
      </c>
      <c r="Y55" s="1293">
        <v>9.75</v>
      </c>
      <c r="Z55" s="1293">
        <v>30.5</v>
      </c>
      <c r="AA55" s="1293">
        <v>2.25</v>
      </c>
      <c r="AB55" s="1293">
        <v>0.5</v>
      </c>
      <c r="AC55" s="848" t="e">
        <f>黄色IT野帳!U344</f>
        <v>#N/A</v>
      </c>
    </row>
    <row r="56" spans="1:29">
      <c r="A56" s="403"/>
      <c r="B56" s="408" t="s">
        <v>282</v>
      </c>
      <c r="C56" s="461" t="s">
        <v>296</v>
      </c>
      <c r="D56" s="482" t="e">
        <f t="shared" ca="1" si="3"/>
        <v>#N/A</v>
      </c>
      <c r="E56" s="1611">
        <f t="shared" ca="1" si="0"/>
        <v>13.919</v>
      </c>
      <c r="F56" s="464"/>
      <c r="G56" s="464"/>
      <c r="H56" s="1631">
        <f t="shared" si="2"/>
        <v>24.936443452380953</v>
      </c>
      <c r="I56" s="545"/>
      <c r="J56" s="490" t="s">
        <v>293</v>
      </c>
      <c r="K56" s="491" t="s">
        <v>302</v>
      </c>
      <c r="L56" s="548">
        <v>36.277770833333335</v>
      </c>
      <c r="M56" s="548">
        <v>54.840833333333336</v>
      </c>
      <c r="N56" s="548">
        <v>36.664434523809526</v>
      </c>
      <c r="O56" s="567">
        <v>42.75</v>
      </c>
      <c r="P56" s="571">
        <v>0.26</v>
      </c>
      <c r="Q56" s="572">
        <v>13.65</v>
      </c>
      <c r="R56" s="572">
        <v>40.1</v>
      </c>
      <c r="S56" s="573">
        <v>2.6</v>
      </c>
      <c r="T56" s="572">
        <v>0</v>
      </c>
      <c r="U56" s="573">
        <v>11</v>
      </c>
      <c r="V56" s="573">
        <v>32.340000000000003</v>
      </c>
      <c r="W56" s="1128">
        <v>70</v>
      </c>
      <c r="X56" s="1293">
        <v>0</v>
      </c>
      <c r="Y56" s="1293">
        <v>10</v>
      </c>
      <c r="Z56" s="1293">
        <v>0.5</v>
      </c>
      <c r="AA56" s="1293">
        <v>12.75</v>
      </c>
      <c r="AB56" s="1293">
        <v>0</v>
      </c>
      <c r="AC56" s="848" t="e">
        <f>黄色IT野帳!U349</f>
        <v>#N/A</v>
      </c>
    </row>
    <row r="57" spans="1:29">
      <c r="B57" s="408"/>
      <c r="C57" s="461" t="s">
        <v>297</v>
      </c>
      <c r="D57" s="482" t="e">
        <f t="shared" ca="1" si="3"/>
        <v>#N/A</v>
      </c>
      <c r="E57" s="1611">
        <f t="shared" ca="1" si="0"/>
        <v>14.250999999999999</v>
      </c>
      <c r="F57" s="464"/>
      <c r="G57" s="464"/>
      <c r="H57" s="1631">
        <f t="shared" si="2"/>
        <v>28.215260119047617</v>
      </c>
      <c r="I57" s="545"/>
      <c r="J57" s="490"/>
      <c r="K57" s="491" t="s">
        <v>303</v>
      </c>
      <c r="L57" s="548">
        <v>31.399378472222224</v>
      </c>
      <c r="M57" s="548">
        <v>32.621190476190478</v>
      </c>
      <c r="N57" s="548">
        <v>23.893601190476193</v>
      </c>
      <c r="O57" s="567">
        <v>42.75</v>
      </c>
      <c r="P57" s="571">
        <v>6.9000000000000006E-2</v>
      </c>
      <c r="Q57" s="572">
        <v>3.63</v>
      </c>
      <c r="R57" s="572">
        <v>71.3</v>
      </c>
      <c r="S57" s="573">
        <v>3.5</v>
      </c>
      <c r="T57" s="572">
        <v>0</v>
      </c>
      <c r="U57" s="573">
        <v>6.3</v>
      </c>
      <c r="V57" s="573">
        <v>20.239999999999998</v>
      </c>
      <c r="W57" s="1128">
        <v>110.47</v>
      </c>
      <c r="X57" s="1293">
        <v>0</v>
      </c>
      <c r="Y57" s="1293">
        <v>0</v>
      </c>
      <c r="Z57" s="1293">
        <v>2</v>
      </c>
      <c r="AA57" s="1293">
        <v>0</v>
      </c>
      <c r="AB57" s="1293">
        <v>0</v>
      </c>
      <c r="AC57" s="848" t="e">
        <f>黄色IT野帳!U354</f>
        <v>#N/A</v>
      </c>
    </row>
    <row r="58" spans="1:29">
      <c r="B58" s="408"/>
      <c r="C58" s="461" t="s">
        <v>298</v>
      </c>
      <c r="D58" s="482" t="e">
        <f t="shared" ca="1" si="3"/>
        <v>#N/A</v>
      </c>
      <c r="E58" s="1611">
        <f t="shared" ca="1" si="0"/>
        <v>10.443000000000001</v>
      </c>
      <c r="F58" s="464"/>
      <c r="G58" s="464"/>
      <c r="H58" s="1631">
        <f t="shared" si="2"/>
        <v>11.149369047619048</v>
      </c>
      <c r="I58" s="545"/>
      <c r="J58" s="490"/>
      <c r="K58" s="491" t="s">
        <v>304</v>
      </c>
      <c r="L58" s="548">
        <v>30.465777777777781</v>
      </c>
      <c r="M58" s="548">
        <v>31.075476190476191</v>
      </c>
      <c r="N58" s="548">
        <v>2.6636904761904763</v>
      </c>
      <c r="O58" s="567">
        <v>1</v>
      </c>
      <c r="P58" s="571">
        <v>0</v>
      </c>
      <c r="Q58" s="572">
        <v>0</v>
      </c>
      <c r="R58" s="572">
        <v>8.9</v>
      </c>
      <c r="S58" s="573">
        <v>0</v>
      </c>
      <c r="T58" s="572">
        <v>0</v>
      </c>
      <c r="U58" s="573">
        <v>0.9</v>
      </c>
      <c r="V58" s="573">
        <v>30.5</v>
      </c>
      <c r="W58" s="1128">
        <v>67.53</v>
      </c>
      <c r="X58" s="1293">
        <v>0</v>
      </c>
      <c r="Y58" s="1293">
        <v>1</v>
      </c>
      <c r="Z58" s="1293">
        <v>4.5</v>
      </c>
      <c r="AA58" s="1293">
        <v>0</v>
      </c>
      <c r="AB58" s="1293">
        <v>0</v>
      </c>
      <c r="AC58" s="848" t="e">
        <f>黄色IT野帳!U359</f>
        <v>#N/A</v>
      </c>
    </row>
    <row r="59" spans="1:29" ht="14.5" thickBot="1">
      <c r="B59" s="472"/>
      <c r="C59" s="448" t="s">
        <v>299</v>
      </c>
      <c r="D59" s="506" t="e">
        <f t="shared" ca="1" si="3"/>
        <v>#N/A</v>
      </c>
      <c r="E59" s="1608">
        <f ca="1">AVERAGE(OFFSET(L59,0,$J$2-2009-1,1,-10))</f>
        <v>0.99600000000000011</v>
      </c>
      <c r="F59" s="475"/>
      <c r="G59" s="475"/>
      <c r="H59" s="1633">
        <f t="shared" si="2"/>
        <v>3.3093333333333335</v>
      </c>
      <c r="I59" s="545"/>
      <c r="J59" s="508"/>
      <c r="K59" s="509" t="s">
        <v>305</v>
      </c>
      <c r="L59" s="553">
        <v>30.045000000000002</v>
      </c>
      <c r="M59" s="553">
        <v>30.30261904761905</v>
      </c>
      <c r="N59" s="553">
        <v>22.083333333333336</v>
      </c>
      <c r="O59" s="579">
        <v>0.5</v>
      </c>
      <c r="P59" s="575">
        <v>0</v>
      </c>
      <c r="Q59" s="576">
        <v>0</v>
      </c>
      <c r="R59" s="576">
        <v>1.8</v>
      </c>
      <c r="S59" s="577">
        <v>0</v>
      </c>
      <c r="T59" s="576">
        <v>0</v>
      </c>
      <c r="U59" s="577">
        <v>3.5</v>
      </c>
      <c r="V59" s="577">
        <v>0.21</v>
      </c>
      <c r="W59" s="1129">
        <v>5</v>
      </c>
      <c r="X59" s="1295">
        <v>0</v>
      </c>
      <c r="Y59" s="1295">
        <v>1.25</v>
      </c>
      <c r="Z59" s="1295">
        <v>0</v>
      </c>
      <c r="AA59" s="1295">
        <v>0</v>
      </c>
      <c r="AB59" s="1295">
        <v>0</v>
      </c>
      <c r="AC59" s="849" t="e">
        <f>黄色IT野帳!U365</f>
        <v>#N/A</v>
      </c>
    </row>
    <row r="60" spans="1:29">
      <c r="A60" s="545"/>
      <c r="B60" s="545"/>
      <c r="C60" s="545"/>
      <c r="D60" s="545"/>
      <c r="E60" s="545"/>
      <c r="F60" s="545"/>
      <c r="G60" s="1634"/>
      <c r="H60" s="545"/>
      <c r="I60" s="545"/>
      <c r="J60" s="434"/>
      <c r="K60" s="484" t="s">
        <v>189</v>
      </c>
      <c r="L60" s="898">
        <v>30.045000000000002</v>
      </c>
      <c r="M60" s="546">
        <v>30.689047619047621</v>
      </c>
      <c r="N60" s="546">
        <v>10.316666666666666</v>
      </c>
      <c r="O60" s="580">
        <v>0</v>
      </c>
      <c r="P60" s="571">
        <v>0</v>
      </c>
      <c r="Q60" s="572"/>
      <c r="R60" s="572"/>
      <c r="S60" s="572"/>
      <c r="T60" s="572"/>
      <c r="U60" s="572"/>
      <c r="V60" s="572"/>
      <c r="W60" s="1130"/>
      <c r="X60" s="1292"/>
      <c r="Y60" s="1292"/>
      <c r="Z60" s="1292"/>
      <c r="AA60" s="1292"/>
      <c r="AB60" s="1292"/>
      <c r="AC60" s="572"/>
    </row>
    <row r="61" spans="1:29">
      <c r="A61" s="545"/>
      <c r="B61" s="545"/>
      <c r="C61" s="545"/>
      <c r="D61" s="545"/>
      <c r="E61" s="545"/>
      <c r="F61" s="545"/>
      <c r="G61" s="1634"/>
      <c r="H61" s="545"/>
      <c r="I61" s="545"/>
      <c r="J61" s="490"/>
      <c r="K61" s="491" t="s">
        <v>190</v>
      </c>
      <c r="L61" s="899"/>
      <c r="M61" s="548">
        <v>30.371049107142859</v>
      </c>
      <c r="N61" s="548">
        <v>1.0166666666666666</v>
      </c>
      <c r="O61" s="567">
        <v>0</v>
      </c>
      <c r="P61" s="571">
        <v>0</v>
      </c>
      <c r="Q61" s="572"/>
      <c r="R61" s="572"/>
      <c r="S61" s="572"/>
      <c r="T61" s="572"/>
      <c r="U61" s="572"/>
      <c r="V61" s="572"/>
      <c r="W61" s="1130"/>
      <c r="X61" s="1292"/>
      <c r="Y61" s="1292"/>
      <c r="Z61" s="1292"/>
      <c r="AA61" s="1292"/>
      <c r="AB61" s="1292"/>
      <c r="AC61" s="572"/>
    </row>
    <row r="62" spans="1:29">
      <c r="A62" s="545"/>
      <c r="B62" s="545"/>
      <c r="C62" s="545"/>
      <c r="D62" s="545"/>
      <c r="E62" s="545"/>
      <c r="F62" s="545"/>
      <c r="G62" s="1634"/>
      <c r="H62" s="545"/>
      <c r="I62" s="545"/>
      <c r="J62" s="490" t="s">
        <v>218</v>
      </c>
      <c r="K62" s="491" t="s">
        <v>192</v>
      </c>
      <c r="L62" s="899"/>
      <c r="M62" s="548">
        <v>30.20279166666667</v>
      </c>
      <c r="N62" s="548">
        <v>8.3333333333333329E-2</v>
      </c>
      <c r="O62" s="567">
        <v>0</v>
      </c>
      <c r="P62" s="571">
        <v>0</v>
      </c>
      <c r="Q62" s="572"/>
      <c r="R62" s="572"/>
      <c r="S62" s="572"/>
      <c r="T62" s="572"/>
      <c r="U62" s="572"/>
      <c r="V62" s="572"/>
      <c r="W62" s="1130"/>
      <c r="X62" s="1292"/>
      <c r="Y62" s="1292"/>
      <c r="Z62" s="1292"/>
      <c r="AA62" s="1292"/>
      <c r="AB62" s="1292"/>
      <c r="AC62" s="572"/>
    </row>
    <row r="63" spans="1:29">
      <c r="A63" s="545"/>
      <c r="B63" s="545"/>
      <c r="C63" s="545"/>
      <c r="D63" s="545"/>
      <c r="E63" s="545"/>
      <c r="F63" s="545"/>
      <c r="G63" s="1634"/>
      <c r="H63" s="545"/>
      <c r="I63" s="545"/>
      <c r="J63" s="490"/>
      <c r="K63" s="491" t="s">
        <v>193</v>
      </c>
      <c r="L63" s="899"/>
      <c r="M63" s="548"/>
      <c r="N63" s="548">
        <v>0</v>
      </c>
      <c r="O63" s="567">
        <v>0</v>
      </c>
      <c r="P63" s="571">
        <v>0</v>
      </c>
      <c r="Q63" s="572"/>
      <c r="R63" s="572"/>
      <c r="S63" s="572"/>
      <c r="T63" s="572"/>
      <c r="U63" s="572"/>
      <c r="V63" s="572"/>
      <c r="W63" s="572"/>
      <c r="X63" s="1292"/>
      <c r="Y63" s="1292"/>
      <c r="Z63" s="1292"/>
      <c r="AA63" s="1292"/>
      <c r="AB63" s="1292"/>
      <c r="AC63" s="572"/>
    </row>
    <row r="64" spans="1:29">
      <c r="A64" s="545"/>
      <c r="B64" s="545"/>
      <c r="C64" s="545"/>
      <c r="D64" s="545"/>
      <c r="E64" s="545"/>
      <c r="F64" s="545"/>
      <c r="G64" s="1634"/>
      <c r="H64" s="545"/>
      <c r="I64" s="545"/>
      <c r="J64" s="490"/>
      <c r="K64" s="491" t="s">
        <v>194</v>
      </c>
      <c r="L64" s="899"/>
      <c r="M64" s="548"/>
      <c r="N64" s="548"/>
      <c r="O64" s="567"/>
      <c r="P64" s="571">
        <v>0</v>
      </c>
      <c r="Q64" s="572"/>
      <c r="R64" s="572"/>
      <c r="S64" s="572"/>
      <c r="T64" s="572"/>
      <c r="U64" s="572"/>
      <c r="V64" s="572"/>
      <c r="W64" s="572"/>
      <c r="X64" s="1292"/>
      <c r="Y64" s="1292"/>
      <c r="Z64" s="1292"/>
      <c r="AA64" s="1292"/>
      <c r="AB64" s="1292"/>
      <c r="AC64" s="572"/>
    </row>
    <row r="65" spans="1:29" ht="14.5" thickBot="1">
      <c r="A65" s="545"/>
      <c r="B65" s="545"/>
      <c r="C65" s="545"/>
      <c r="D65" s="545"/>
      <c r="E65" s="545"/>
      <c r="F65" s="545"/>
      <c r="G65" s="1634"/>
      <c r="H65" s="545"/>
      <c r="I65" s="545"/>
      <c r="J65" s="508"/>
      <c r="K65" s="509" t="s">
        <v>195</v>
      </c>
      <c r="L65" s="900"/>
      <c r="M65" s="550"/>
      <c r="N65" s="550"/>
      <c r="O65" s="574"/>
      <c r="P65" s="575">
        <v>0</v>
      </c>
      <c r="Q65" s="576"/>
      <c r="R65" s="576"/>
      <c r="S65" s="576"/>
      <c r="T65" s="576"/>
      <c r="U65" s="576"/>
      <c r="V65" s="576"/>
      <c r="W65" s="576"/>
      <c r="X65" s="1294"/>
      <c r="Y65" s="1294"/>
      <c r="Z65" s="1294"/>
      <c r="AA65" s="1294"/>
      <c r="AB65" s="1294"/>
      <c r="AC65" s="576"/>
    </row>
    <row r="66" spans="1:29">
      <c r="G66" s="1251"/>
      <c r="V66" s="750"/>
    </row>
    <row r="68" spans="1:29">
      <c r="Q68" s="1711" t="s">
        <v>536</v>
      </c>
      <c r="R68" s="1712">
        <f t="shared" ref="R68:AA68" si="4">SUM(R26:R31)</f>
        <v>768.78</v>
      </c>
      <c r="S68" s="1712">
        <f t="shared" si="4"/>
        <v>2654.2</v>
      </c>
      <c r="T68" s="1712">
        <f t="shared" si="4"/>
        <v>331.8</v>
      </c>
      <c r="U68" s="1712">
        <f t="shared" si="4"/>
        <v>2586.8000000000002</v>
      </c>
      <c r="V68" s="1712">
        <f t="shared" si="4"/>
        <v>1190.25</v>
      </c>
      <c r="W68" s="1712">
        <f t="shared" si="4"/>
        <v>1226.1799999999998</v>
      </c>
      <c r="X68" s="1712">
        <f t="shared" si="4"/>
        <v>2923.25</v>
      </c>
      <c r="Y68" s="1712">
        <f t="shared" si="4"/>
        <v>371</v>
      </c>
      <c r="Z68" s="1712">
        <f t="shared" si="4"/>
        <v>774.25</v>
      </c>
      <c r="AA68" s="1712">
        <f t="shared" si="4"/>
        <v>137.25</v>
      </c>
      <c r="AB68" s="1712">
        <v>24.25</v>
      </c>
      <c r="AC68" s="1712" t="e">
        <f>SUM(AC26:AC31)</f>
        <v>#N/A</v>
      </c>
    </row>
  </sheetData>
  <mergeCells count="5">
    <mergeCell ref="F3:H3"/>
    <mergeCell ref="E4:E5"/>
    <mergeCell ref="F5:H5"/>
    <mergeCell ref="B2:H2"/>
    <mergeCell ref="J2:K2"/>
  </mergeCells>
  <phoneticPr fontId="2"/>
  <dataValidations count="3">
    <dataValidation type="whole" allowBlank="1" showInputMessage="1" showErrorMessage="1" error="年数が間違っています。" prompt="年数を入力して下さい。" sqref="D4" xr:uid="{00000000-0002-0000-0C00-000000000000}">
      <formula1>1987</formula1>
      <formula2>J4</formula2>
    </dataValidation>
    <dataValidation type="whole" allowBlank="1" showInputMessage="1" showErrorMessage="1" error="年数が間違っています。" prompt="年数を入力して下さい。" sqref="F4" xr:uid="{00000000-0002-0000-0C00-000001000000}">
      <formula1>1987</formula1>
      <formula2>H4-2</formula2>
    </dataValidation>
    <dataValidation type="whole" allowBlank="1" showInputMessage="1" showErrorMessage="1" error="年数が間違っています。" prompt="年数を入力して下さい。" sqref="H4" xr:uid="{00000000-0002-0000-0C00-000002000000}">
      <formula1>F4+1</formula1>
      <formula2>J4</formula2>
    </dataValidation>
  </dataValidations>
  <pageMargins left="0.75" right="0.75" top="1" bottom="1" header="0.51200000000000001" footer="0.51200000000000001"/>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7030A0"/>
    <pageSetUpPr fitToPage="1"/>
  </sheetPr>
  <dimension ref="A1:O89"/>
  <sheetViews>
    <sheetView zoomScale="80" zoomScaleNormal="80" zoomScaleSheetLayoutView="75" workbookViewId="0">
      <pane xSplit="1" ySplit="5" topLeftCell="B70" activePane="bottomRight" state="frozen"/>
      <selection pane="topRight" activeCell="B1" sqref="B1"/>
      <selection pane="bottomLeft" activeCell="A5" sqref="A5"/>
      <selection pane="bottomRight" activeCell="I89" sqref="I89"/>
    </sheetView>
  </sheetViews>
  <sheetFormatPr defaultColWidth="9" defaultRowHeight="13"/>
  <cols>
    <col min="1" max="1" width="9.36328125" style="814" customWidth="1"/>
    <col min="2" max="4" width="7" style="814" customWidth="1"/>
    <col min="5" max="8" width="9.08984375" style="814" customWidth="1"/>
    <col min="9" max="9" width="15" style="814" customWidth="1"/>
    <col min="10" max="10" width="10.90625" style="814" bestFit="1" customWidth="1"/>
    <col min="11" max="13" width="5.6328125" style="814" customWidth="1"/>
    <col min="14" max="14" width="9" style="814" bestFit="1" customWidth="1"/>
    <col min="15" max="15" width="8.90625" style="814" customWidth="1"/>
    <col min="16" max="16384" width="9" style="814"/>
  </cols>
  <sheetData>
    <row r="1" spans="1:15">
      <c r="A1" s="1687" t="s">
        <v>528</v>
      </c>
      <c r="B1" s="1687"/>
      <c r="C1" s="1687"/>
      <c r="D1" s="1687"/>
      <c r="E1" s="1687"/>
      <c r="F1" s="1687"/>
      <c r="G1" s="1687"/>
      <c r="H1" s="1687"/>
      <c r="I1" s="1687"/>
      <c r="J1" s="1687"/>
      <c r="K1" s="1687"/>
      <c r="L1" s="1687"/>
      <c r="M1" s="1687"/>
      <c r="N1" s="1687"/>
      <c r="O1" s="1687"/>
    </row>
    <row r="2" spans="1:15">
      <c r="A2" s="814" t="s">
        <v>311</v>
      </c>
      <c r="E2" s="1686" t="s">
        <v>335</v>
      </c>
      <c r="J2" s="1686"/>
      <c r="K2" s="1686"/>
      <c r="L2" s="1686"/>
      <c r="M2" s="1686"/>
      <c r="N2" s="1686"/>
      <c r="O2" s="1686"/>
    </row>
    <row r="3" spans="1:15">
      <c r="A3" s="821" t="s">
        <v>150</v>
      </c>
      <c r="B3" s="821"/>
      <c r="C3" s="821"/>
      <c r="D3" s="821"/>
      <c r="E3" s="821"/>
      <c r="F3" s="821"/>
      <c r="G3" s="821"/>
      <c r="H3" s="821"/>
      <c r="I3" s="821"/>
      <c r="J3" s="821"/>
      <c r="K3" s="821"/>
      <c r="L3" s="821"/>
      <c r="M3" s="821"/>
      <c r="N3" s="821"/>
      <c r="O3" s="821"/>
    </row>
    <row r="4" spans="1:15" ht="12.75" customHeight="1">
      <c r="A4" s="1950" t="s">
        <v>312</v>
      </c>
      <c r="B4" s="1952" t="s">
        <v>367</v>
      </c>
      <c r="C4" s="1952" t="s">
        <v>371</v>
      </c>
      <c r="D4" s="1952" t="s">
        <v>370</v>
      </c>
      <c r="E4" s="1952" t="s">
        <v>369</v>
      </c>
      <c r="F4" s="1950" t="s">
        <v>464</v>
      </c>
      <c r="G4" s="1950" t="s">
        <v>463</v>
      </c>
      <c r="H4" s="1950" t="s">
        <v>462</v>
      </c>
      <c r="I4" s="1950" t="s">
        <v>461</v>
      </c>
      <c r="J4" s="1954" t="s">
        <v>313</v>
      </c>
      <c r="K4" s="1948" t="s">
        <v>465</v>
      </c>
      <c r="L4" s="1949"/>
      <c r="M4" s="1949"/>
      <c r="N4" s="1947" t="s">
        <v>459</v>
      </c>
      <c r="O4" s="1947"/>
    </row>
    <row r="5" spans="1:15" ht="24">
      <c r="A5" s="1951"/>
      <c r="B5" s="1953"/>
      <c r="C5" s="1953"/>
      <c r="D5" s="1953"/>
      <c r="E5" s="1953"/>
      <c r="F5" s="1951"/>
      <c r="G5" s="1951"/>
      <c r="H5" s="1951"/>
      <c r="I5" s="1951"/>
      <c r="J5" s="1955"/>
      <c r="K5" s="1576">
        <v>1</v>
      </c>
      <c r="L5" s="1576">
        <v>2</v>
      </c>
      <c r="M5" s="1576">
        <v>3</v>
      </c>
      <c r="N5" s="1575" t="s">
        <v>460</v>
      </c>
      <c r="O5" s="1575"/>
    </row>
    <row r="6" spans="1:15" ht="15" customHeight="1">
      <c r="A6" s="824">
        <v>39218</v>
      </c>
      <c r="B6" s="1158"/>
      <c r="C6" s="1158"/>
      <c r="D6" s="1158"/>
      <c r="E6" s="1158"/>
      <c r="F6" s="1577">
        <v>95.6</v>
      </c>
      <c r="G6" s="1577"/>
      <c r="H6" s="1577">
        <v>4.7</v>
      </c>
      <c r="I6" s="825"/>
      <c r="O6" s="817"/>
    </row>
    <row r="7" spans="1:15" ht="15" customHeight="1">
      <c r="A7" s="824">
        <v>39221</v>
      </c>
      <c r="B7" s="1158"/>
      <c r="C7" s="1158"/>
      <c r="D7" s="1158"/>
      <c r="E7" s="1158"/>
      <c r="F7" s="1577"/>
      <c r="G7" s="1577"/>
      <c r="H7" s="1577">
        <v>52.6</v>
      </c>
      <c r="I7" s="825"/>
    </row>
    <row r="8" spans="1:15" ht="15" customHeight="1">
      <c r="A8" s="826">
        <v>39223</v>
      </c>
      <c r="B8" s="1159"/>
      <c r="C8" s="1159"/>
      <c r="D8" s="1159"/>
      <c r="E8" s="1159"/>
      <c r="F8" s="1578"/>
      <c r="G8" s="1578"/>
      <c r="H8" s="1578">
        <v>70.3</v>
      </c>
      <c r="I8" s="822">
        <v>42509</v>
      </c>
      <c r="J8" s="822">
        <v>42510</v>
      </c>
      <c r="K8" s="822"/>
      <c r="L8" s="822"/>
      <c r="M8" s="822"/>
      <c r="N8" s="822"/>
      <c r="O8" s="822"/>
    </row>
    <row r="9" spans="1:15" ht="15" customHeight="1">
      <c r="A9" s="827">
        <v>39579</v>
      </c>
      <c r="B9" s="1160"/>
      <c r="C9" s="1160"/>
      <c r="D9" s="1160"/>
      <c r="E9" s="1160"/>
      <c r="F9" s="1579">
        <v>66.7</v>
      </c>
      <c r="G9" s="1579"/>
      <c r="H9" s="1579">
        <v>0</v>
      </c>
      <c r="I9" s="828"/>
    </row>
    <row r="10" spans="1:15" ht="15" customHeight="1">
      <c r="A10" s="827">
        <v>39584</v>
      </c>
      <c r="B10" s="1160"/>
      <c r="C10" s="1160"/>
      <c r="D10" s="1160"/>
      <c r="E10" s="1160"/>
      <c r="F10" s="1579">
        <v>86.7</v>
      </c>
      <c r="G10" s="1579"/>
      <c r="H10" s="1579">
        <v>0</v>
      </c>
      <c r="I10" s="828">
        <v>42513</v>
      </c>
      <c r="J10" s="822">
        <v>42508</v>
      </c>
      <c r="K10" s="822"/>
      <c r="L10" s="822"/>
      <c r="M10" s="822"/>
      <c r="N10" s="822"/>
      <c r="O10" s="822"/>
    </row>
    <row r="11" spans="1:15" ht="15" customHeight="1">
      <c r="A11" s="823">
        <v>39937</v>
      </c>
      <c r="B11" s="1161"/>
      <c r="C11" s="1161"/>
      <c r="D11" s="1161"/>
      <c r="E11" s="1161"/>
      <c r="F11" s="1580">
        <v>75.599999999999994</v>
      </c>
      <c r="G11" s="1580"/>
      <c r="H11" s="1580">
        <v>0</v>
      </c>
      <c r="I11" s="830"/>
    </row>
    <row r="12" spans="1:15" ht="15" customHeight="1">
      <c r="A12" s="824">
        <v>39948</v>
      </c>
      <c r="B12" s="1158"/>
      <c r="C12" s="1158"/>
      <c r="D12" s="1158"/>
      <c r="E12" s="1158"/>
      <c r="F12" s="1577">
        <v>94</v>
      </c>
      <c r="G12" s="1577"/>
      <c r="H12" s="1577">
        <v>38.299999999999997</v>
      </c>
      <c r="I12" s="825"/>
    </row>
    <row r="13" spans="1:15" ht="15" customHeight="1">
      <c r="A13" s="826">
        <v>39952</v>
      </c>
      <c r="B13" s="1159"/>
      <c r="C13" s="1159"/>
      <c r="D13" s="1159"/>
      <c r="E13" s="1159"/>
      <c r="F13" s="1578">
        <v>100</v>
      </c>
      <c r="G13" s="1578"/>
      <c r="H13" s="1578">
        <v>97.8</v>
      </c>
      <c r="I13" s="822">
        <v>42507</v>
      </c>
      <c r="J13" s="822">
        <v>42505</v>
      </c>
      <c r="K13" s="822"/>
      <c r="L13" s="822"/>
      <c r="M13" s="822"/>
      <c r="N13" s="822"/>
      <c r="O13" s="822"/>
    </row>
    <row r="14" spans="1:15" ht="15" customHeight="1">
      <c r="A14" s="827">
        <v>40310</v>
      </c>
      <c r="B14" s="1160"/>
      <c r="C14" s="1160"/>
      <c r="D14" s="1160"/>
      <c r="E14" s="1160"/>
      <c r="F14" s="1579">
        <v>60</v>
      </c>
      <c r="G14" s="1579"/>
      <c r="H14" s="1579">
        <v>0</v>
      </c>
      <c r="I14" s="828"/>
    </row>
    <row r="15" spans="1:15" ht="15" customHeight="1">
      <c r="A15" s="826">
        <v>40317</v>
      </c>
      <c r="B15" s="1159"/>
      <c r="C15" s="1159"/>
      <c r="D15" s="1159"/>
      <c r="E15" s="1159"/>
      <c r="F15" s="1578">
        <v>87.5</v>
      </c>
      <c r="G15" s="1578"/>
      <c r="H15" s="1578">
        <v>85</v>
      </c>
      <c r="I15" s="831">
        <v>42506</v>
      </c>
      <c r="J15" s="822">
        <v>42512</v>
      </c>
      <c r="K15" s="822"/>
      <c r="L15" s="822"/>
      <c r="M15" s="822"/>
      <c r="N15" s="822"/>
      <c r="O15" s="822"/>
    </row>
    <row r="16" spans="1:15" ht="15" customHeight="1">
      <c r="A16" s="827">
        <v>40677</v>
      </c>
      <c r="B16" s="1160"/>
      <c r="C16" s="1160"/>
      <c r="D16" s="1160"/>
      <c r="E16" s="1160"/>
      <c r="F16" s="1579">
        <v>75</v>
      </c>
      <c r="G16" s="1579"/>
      <c r="H16" s="1579">
        <v>0</v>
      </c>
      <c r="I16" s="828"/>
    </row>
    <row r="17" spans="1:15" ht="15" customHeight="1">
      <c r="A17" s="827">
        <v>40680</v>
      </c>
      <c r="B17" s="1160"/>
      <c r="C17" s="1160"/>
      <c r="D17" s="1160"/>
      <c r="E17" s="1160"/>
      <c r="F17" s="1579">
        <v>85</v>
      </c>
      <c r="G17" s="1579"/>
      <c r="H17" s="1579">
        <v>3</v>
      </c>
      <c r="I17" s="828"/>
    </row>
    <row r="18" spans="1:15" ht="15" customHeight="1">
      <c r="A18" s="827">
        <v>40681</v>
      </c>
      <c r="B18" s="1160"/>
      <c r="C18" s="1160"/>
      <c r="D18" s="1160"/>
      <c r="E18" s="1160"/>
      <c r="F18" s="1579">
        <v>75</v>
      </c>
      <c r="G18" s="1579"/>
      <c r="H18" s="1579">
        <v>6</v>
      </c>
      <c r="I18" s="828"/>
    </row>
    <row r="19" spans="1:15" ht="15" customHeight="1">
      <c r="A19" s="827">
        <v>40682</v>
      </c>
      <c r="B19" s="1160"/>
      <c r="C19" s="1160"/>
      <c r="D19" s="1160"/>
      <c r="E19" s="1160"/>
      <c r="F19" s="1579">
        <v>94.3</v>
      </c>
      <c r="G19" s="1579"/>
      <c r="H19" s="1579">
        <v>13.2</v>
      </c>
      <c r="I19" s="828"/>
    </row>
    <row r="20" spans="1:15" ht="15" customHeight="1">
      <c r="A20" s="827">
        <v>40683</v>
      </c>
      <c r="B20" s="1160"/>
      <c r="C20" s="1160"/>
      <c r="D20" s="1160"/>
      <c r="E20" s="1160"/>
      <c r="F20" s="1579"/>
      <c r="G20" s="1579"/>
      <c r="H20" s="1579">
        <v>37.700000000000003</v>
      </c>
      <c r="I20" s="828"/>
    </row>
    <row r="21" spans="1:15" ht="15" customHeight="1">
      <c r="A21" s="827">
        <v>40686</v>
      </c>
      <c r="B21" s="1160"/>
      <c r="C21" s="1160"/>
      <c r="D21" s="1160"/>
      <c r="E21" s="1160"/>
      <c r="F21" s="1579"/>
      <c r="G21" s="1579"/>
      <c r="H21" s="1579">
        <v>78.599999999999994</v>
      </c>
      <c r="I21" s="828"/>
    </row>
    <row r="22" spans="1:15" ht="15" customHeight="1">
      <c r="A22" s="827">
        <v>40687</v>
      </c>
      <c r="B22" s="1160"/>
      <c r="C22" s="1160"/>
      <c r="D22" s="1160"/>
      <c r="E22" s="1160"/>
      <c r="F22" s="1579"/>
      <c r="G22" s="1579"/>
      <c r="H22" s="1579">
        <v>91.1</v>
      </c>
      <c r="I22" s="834">
        <v>42511</v>
      </c>
      <c r="J22" s="822">
        <v>42512</v>
      </c>
      <c r="K22" s="822"/>
      <c r="L22" s="822"/>
      <c r="M22" s="822"/>
      <c r="N22" s="822"/>
      <c r="O22" s="822"/>
    </row>
    <row r="23" spans="1:15" ht="15" customHeight="1">
      <c r="A23" s="823">
        <v>41046</v>
      </c>
      <c r="B23" s="1161"/>
      <c r="C23" s="1161"/>
      <c r="D23" s="1161"/>
      <c r="E23" s="1161"/>
      <c r="F23" s="1580">
        <v>95.2</v>
      </c>
      <c r="G23" s="1580"/>
      <c r="H23" s="1580">
        <v>0</v>
      </c>
      <c r="I23" s="830"/>
    </row>
    <row r="24" spans="1:15" ht="15" customHeight="1">
      <c r="A24" s="824">
        <v>41050</v>
      </c>
      <c r="B24" s="1158"/>
      <c r="C24" s="1158"/>
      <c r="D24" s="1158"/>
      <c r="E24" s="1158"/>
      <c r="F24" s="1577">
        <v>100</v>
      </c>
      <c r="G24" s="1577"/>
      <c r="H24" s="1577">
        <v>60.9</v>
      </c>
      <c r="I24" s="825"/>
    </row>
    <row r="25" spans="1:15" ht="15" customHeight="1">
      <c r="A25" s="826">
        <v>41053</v>
      </c>
      <c r="B25" s="1159"/>
      <c r="C25" s="1159"/>
      <c r="D25" s="1159"/>
      <c r="E25" s="1159"/>
      <c r="F25" s="1578">
        <v>100</v>
      </c>
      <c r="G25" s="1578"/>
      <c r="H25" s="1578">
        <v>100</v>
      </c>
      <c r="I25" s="831">
        <v>42510</v>
      </c>
      <c r="J25" s="822">
        <v>42510</v>
      </c>
      <c r="K25" s="822"/>
      <c r="L25" s="822"/>
      <c r="M25" s="822"/>
      <c r="N25" s="822"/>
      <c r="O25" s="822"/>
    </row>
    <row r="26" spans="1:15" ht="15" customHeight="1">
      <c r="A26" s="827">
        <v>41416</v>
      </c>
      <c r="B26" s="1160"/>
      <c r="C26" s="1160"/>
      <c r="D26" s="1160"/>
      <c r="E26" s="1160"/>
      <c r="F26" s="1579">
        <v>70</v>
      </c>
      <c r="G26" s="1579"/>
      <c r="H26" s="1579">
        <v>95</v>
      </c>
      <c r="I26" s="828"/>
    </row>
    <row r="27" spans="1:15" ht="15" customHeight="1">
      <c r="A27" s="827">
        <v>41418</v>
      </c>
      <c r="B27" s="1160"/>
      <c r="C27" s="1160"/>
      <c r="D27" s="1160"/>
      <c r="E27" s="1160"/>
      <c r="F27" s="1579" t="s">
        <v>0</v>
      </c>
      <c r="G27" s="1579"/>
      <c r="H27" s="1579">
        <v>100</v>
      </c>
      <c r="I27" s="1168"/>
      <c r="J27" s="822">
        <v>42510</v>
      </c>
      <c r="K27" s="822"/>
      <c r="L27" s="822"/>
      <c r="M27" s="822"/>
      <c r="N27" s="822"/>
      <c r="O27" s="822"/>
    </row>
    <row r="28" spans="1:15" ht="15" customHeight="1">
      <c r="A28" s="823">
        <v>41768</v>
      </c>
      <c r="B28" s="1161"/>
      <c r="C28" s="1161"/>
      <c r="D28" s="1161"/>
      <c r="E28" s="1161"/>
      <c r="F28" s="1580">
        <v>100</v>
      </c>
      <c r="G28" s="1580"/>
      <c r="H28" s="1580">
        <v>0</v>
      </c>
      <c r="I28" s="830"/>
    </row>
    <row r="29" spans="1:15" ht="15" customHeight="1">
      <c r="A29" s="1698">
        <v>41774</v>
      </c>
      <c r="B29" s="1696"/>
      <c r="C29" s="1696"/>
      <c r="D29" s="1696"/>
      <c r="E29" s="1696"/>
      <c r="F29" s="1691" t="s">
        <v>0</v>
      </c>
      <c r="G29" s="1691"/>
      <c r="H29" s="1691">
        <v>34</v>
      </c>
      <c r="I29" s="1694"/>
      <c r="J29" s="1690"/>
      <c r="K29" s="1690"/>
      <c r="L29" s="1690"/>
      <c r="M29" s="1690"/>
      <c r="N29" s="1690"/>
      <c r="O29" s="1690"/>
    </row>
    <row r="30" spans="1:15" ht="15" customHeight="1">
      <c r="A30" s="826">
        <v>41780</v>
      </c>
      <c r="B30" s="1159"/>
      <c r="C30" s="1159"/>
      <c r="D30" s="1159"/>
      <c r="E30" s="1159"/>
      <c r="F30" s="1578"/>
      <c r="G30" s="1578"/>
      <c r="H30" s="1578">
        <v>84</v>
      </c>
      <c r="I30" s="822">
        <v>42508</v>
      </c>
      <c r="J30" s="822">
        <v>42507</v>
      </c>
      <c r="K30" s="822"/>
      <c r="L30" s="822"/>
      <c r="M30" s="822"/>
      <c r="N30" s="825"/>
      <c r="O30" s="822"/>
    </row>
    <row r="31" spans="1:15" ht="15" customHeight="1">
      <c r="A31" s="827">
        <v>42136</v>
      </c>
      <c r="B31" s="1160"/>
      <c r="C31" s="1160"/>
      <c r="D31" s="1160"/>
      <c r="E31" s="1160"/>
      <c r="F31" s="1579">
        <v>94</v>
      </c>
      <c r="G31" s="1579"/>
      <c r="H31" s="1579">
        <v>23</v>
      </c>
      <c r="I31" s="828"/>
      <c r="N31" s="817"/>
    </row>
    <row r="32" spans="1:15" ht="15" customHeight="1">
      <c r="A32" s="826">
        <v>42139</v>
      </c>
      <c r="B32" s="1159"/>
      <c r="C32" s="1159"/>
      <c r="D32" s="1159"/>
      <c r="E32" s="1159"/>
      <c r="F32" s="1578">
        <v>98.3</v>
      </c>
      <c r="G32" s="1578"/>
      <c r="H32" s="1578">
        <v>68.900000000000006</v>
      </c>
      <c r="I32" s="822">
        <v>42504</v>
      </c>
      <c r="J32" s="822">
        <v>42503</v>
      </c>
      <c r="K32" s="825"/>
      <c r="L32" s="825"/>
      <c r="M32" s="825"/>
      <c r="N32" s="825"/>
      <c r="O32" s="822"/>
    </row>
    <row r="33" spans="1:15" ht="15" customHeight="1">
      <c r="A33" s="823">
        <v>42500</v>
      </c>
      <c r="B33" s="1161"/>
      <c r="C33" s="1161"/>
      <c r="D33" s="1161"/>
      <c r="E33" s="1161"/>
      <c r="F33" s="1580">
        <v>79.400000000000006</v>
      </c>
      <c r="G33" s="1580"/>
      <c r="H33" s="1580">
        <v>0</v>
      </c>
      <c r="I33" s="817"/>
      <c r="J33" s="817"/>
      <c r="K33" s="817"/>
      <c r="L33" s="817"/>
      <c r="M33" s="817"/>
      <c r="N33" s="817"/>
      <c r="O33" s="820"/>
    </row>
    <row r="34" spans="1:15" ht="15" customHeight="1">
      <c r="A34" s="1698">
        <v>42501</v>
      </c>
      <c r="B34" s="1696"/>
      <c r="C34" s="1696"/>
      <c r="D34" s="1696"/>
      <c r="E34" s="1696"/>
      <c r="F34" s="1691">
        <f>13/18*100</f>
        <v>72.222222222222214</v>
      </c>
      <c r="G34" s="1691"/>
      <c r="H34" s="1691">
        <f>4/13*100</f>
        <v>30.76923076923077</v>
      </c>
      <c r="I34" s="1690"/>
      <c r="J34" s="1690"/>
      <c r="K34" s="1690"/>
      <c r="L34" s="1690"/>
      <c r="M34" s="1690"/>
      <c r="N34" s="1690"/>
      <c r="O34" s="1690"/>
    </row>
    <row r="35" spans="1:15" ht="15" customHeight="1">
      <c r="A35" s="826">
        <v>42503</v>
      </c>
      <c r="B35" s="1159"/>
      <c r="C35" s="1159"/>
      <c r="D35" s="1159"/>
      <c r="E35" s="1159"/>
      <c r="F35" s="1578">
        <f>25/26*100</f>
        <v>96.15384615384616</v>
      </c>
      <c r="G35" s="1578"/>
      <c r="H35" s="1578">
        <f>24/25*100</f>
        <v>96</v>
      </c>
      <c r="I35" s="822">
        <v>42502</v>
      </c>
      <c r="J35" s="821"/>
      <c r="K35" s="821"/>
      <c r="L35" s="821"/>
      <c r="M35" s="821"/>
      <c r="N35" s="821"/>
      <c r="O35" s="821"/>
    </row>
    <row r="36" spans="1:15" ht="15" customHeight="1">
      <c r="A36" s="824">
        <v>42861</v>
      </c>
      <c r="B36" s="1158"/>
      <c r="C36" s="1158"/>
      <c r="D36" s="1158"/>
      <c r="E36" s="1158"/>
      <c r="F36" s="1579">
        <v>60</v>
      </c>
      <c r="G36" s="1579"/>
      <c r="H36" s="1579">
        <v>0</v>
      </c>
    </row>
    <row r="37" spans="1:15" ht="15" customHeight="1">
      <c r="A37" s="1698">
        <v>42866</v>
      </c>
      <c r="B37" s="1696"/>
      <c r="C37" s="1696"/>
      <c r="D37" s="1696"/>
      <c r="E37" s="1696"/>
      <c r="F37" s="1691">
        <v>88</v>
      </c>
      <c r="G37" s="1691"/>
      <c r="H37" s="1691">
        <v>0</v>
      </c>
      <c r="I37" s="1690"/>
      <c r="J37" s="1690"/>
      <c r="K37" s="1690"/>
      <c r="L37" s="1690"/>
      <c r="M37" s="1690"/>
      <c r="N37" s="1690"/>
      <c r="O37" s="1690"/>
    </row>
    <row r="38" spans="1:15" ht="15" customHeight="1">
      <c r="A38" s="1698">
        <v>42870</v>
      </c>
      <c r="B38" s="1696"/>
      <c r="C38" s="1696"/>
      <c r="D38" s="1696"/>
      <c r="E38" s="1696"/>
      <c r="F38" s="1691">
        <v>100</v>
      </c>
      <c r="G38" s="1691"/>
      <c r="H38" s="1691">
        <v>8.3000000000000007</v>
      </c>
      <c r="I38" s="1690"/>
      <c r="J38" s="1694"/>
      <c r="K38" s="1694"/>
      <c r="L38" s="1694"/>
      <c r="M38" s="1694"/>
      <c r="N38" s="1694"/>
      <c r="O38" s="1694"/>
    </row>
    <row r="39" spans="1:15" ht="15" customHeight="1">
      <c r="A39" s="1698">
        <v>42871</v>
      </c>
      <c r="B39" s="1696"/>
      <c r="C39" s="1696"/>
      <c r="D39" s="1696"/>
      <c r="E39" s="1696"/>
      <c r="F39" s="1691">
        <v>100</v>
      </c>
      <c r="G39" s="1691"/>
      <c r="H39" s="1691">
        <v>21.8</v>
      </c>
      <c r="I39" s="1694"/>
      <c r="J39" s="1694"/>
      <c r="K39" s="1694"/>
      <c r="L39" s="1694"/>
      <c r="M39" s="1694"/>
      <c r="N39" s="1694"/>
      <c r="O39" s="1694"/>
    </row>
    <row r="40" spans="1:15" ht="15" customHeight="1">
      <c r="A40" s="1698">
        <v>42873</v>
      </c>
      <c r="B40" s="1696"/>
      <c r="C40" s="1696"/>
      <c r="D40" s="1696"/>
      <c r="E40" s="1696"/>
      <c r="F40" s="1691">
        <v>100</v>
      </c>
      <c r="G40" s="1691"/>
      <c r="H40" s="1691">
        <v>50</v>
      </c>
      <c r="I40" s="1694"/>
      <c r="J40" s="1694"/>
      <c r="K40" s="1694"/>
      <c r="L40" s="1694"/>
      <c r="M40" s="1694"/>
      <c r="N40" s="1694"/>
      <c r="O40" s="1694"/>
    </row>
    <row r="41" spans="1:15" ht="15" customHeight="1">
      <c r="A41" s="826">
        <v>42878</v>
      </c>
      <c r="B41" s="1159"/>
      <c r="C41" s="1159"/>
      <c r="D41" s="1159"/>
      <c r="E41" s="1159"/>
      <c r="F41" s="1578">
        <v>100</v>
      </c>
      <c r="G41" s="1578"/>
      <c r="H41" s="1578">
        <v>97.8</v>
      </c>
      <c r="I41" s="822">
        <v>42508</v>
      </c>
      <c r="J41" s="822">
        <v>42511</v>
      </c>
      <c r="K41" s="825"/>
      <c r="L41" s="825"/>
      <c r="M41" s="825"/>
      <c r="N41" s="825"/>
      <c r="O41" s="825"/>
    </row>
    <row r="42" spans="1:15" ht="15" customHeight="1">
      <c r="A42" s="815">
        <v>43220</v>
      </c>
      <c r="B42" s="1161"/>
      <c r="C42" s="1161"/>
      <c r="D42" s="1161"/>
      <c r="E42" s="1161"/>
      <c r="F42" s="1580">
        <f>50/98*100</f>
        <v>51.020408163265309</v>
      </c>
      <c r="G42" s="1580"/>
      <c r="H42" s="1580">
        <v>0</v>
      </c>
      <c r="I42" s="817"/>
      <c r="J42" s="818"/>
      <c r="K42" s="818"/>
      <c r="L42" s="818"/>
      <c r="M42" s="818"/>
      <c r="N42" s="818"/>
      <c r="O42" s="818"/>
    </row>
    <row r="43" spans="1:15" ht="15" customHeight="1">
      <c r="A43" s="1689">
        <v>43224</v>
      </c>
      <c r="B43" s="1696"/>
      <c r="C43" s="1696"/>
      <c r="D43" s="1696"/>
      <c r="E43" s="1696"/>
      <c r="F43" s="1691">
        <f>305/347*100</f>
        <v>87.896253602305478</v>
      </c>
      <c r="G43" s="1691"/>
      <c r="H43" s="1691">
        <f>15/305*100</f>
        <v>4.918032786885246</v>
      </c>
      <c r="I43" s="1690"/>
      <c r="J43" s="1697"/>
      <c r="K43" s="1697"/>
      <c r="L43" s="1697"/>
      <c r="M43" s="1697"/>
      <c r="N43" s="1697"/>
      <c r="O43" s="1697"/>
    </row>
    <row r="44" spans="1:15" ht="15" customHeight="1">
      <c r="A44" s="1689">
        <v>43228</v>
      </c>
      <c r="B44" s="1696"/>
      <c r="C44" s="1696"/>
      <c r="D44" s="1696"/>
      <c r="E44" s="1696"/>
      <c r="F44" s="1691">
        <f>162/213*100</f>
        <v>76.056338028169009</v>
      </c>
      <c r="G44" s="1691"/>
      <c r="H44" s="1691">
        <f>57/162*100</f>
        <v>35.185185185185183</v>
      </c>
      <c r="I44" s="1690"/>
      <c r="J44" s="1697"/>
      <c r="K44" s="1697"/>
      <c r="L44" s="1697"/>
      <c r="M44" s="1697"/>
      <c r="N44" s="1697"/>
      <c r="O44" s="1697"/>
    </row>
    <row r="45" spans="1:15" ht="15" customHeight="1">
      <c r="A45" s="840">
        <v>43230</v>
      </c>
      <c r="B45" s="1159"/>
      <c r="C45" s="1159"/>
      <c r="D45" s="1159"/>
      <c r="E45" s="1159"/>
      <c r="F45" s="1578">
        <f>183/188*100</f>
        <v>97.340425531914903</v>
      </c>
      <c r="G45" s="1578"/>
      <c r="H45" s="1578">
        <f>109/183*100</f>
        <v>59.562841530054641</v>
      </c>
      <c r="I45" s="822">
        <v>42500</v>
      </c>
      <c r="J45" s="822">
        <v>42500</v>
      </c>
      <c r="K45" s="822"/>
      <c r="L45" s="822"/>
      <c r="M45" s="822"/>
      <c r="N45" s="825"/>
      <c r="O45" s="825"/>
    </row>
    <row r="46" spans="1:15" ht="15" customHeight="1">
      <c r="A46" s="839">
        <v>43593</v>
      </c>
      <c r="B46" s="1158"/>
      <c r="C46" s="1158"/>
      <c r="D46" s="1158"/>
      <c r="E46" s="1158"/>
      <c r="F46" s="1577">
        <v>33.299999999999997</v>
      </c>
      <c r="G46" s="1577"/>
      <c r="H46" s="1577">
        <v>0</v>
      </c>
      <c r="I46" s="825"/>
      <c r="J46" s="825"/>
      <c r="K46" s="825"/>
      <c r="L46" s="825"/>
      <c r="M46" s="825"/>
      <c r="N46" s="830"/>
      <c r="O46" s="830"/>
    </row>
    <row r="47" spans="1:15" ht="15" customHeight="1">
      <c r="A47" s="1689">
        <v>43601</v>
      </c>
      <c r="B47" s="1696"/>
      <c r="C47" s="1696"/>
      <c r="D47" s="1696"/>
      <c r="E47" s="1696"/>
      <c r="F47" s="1691">
        <v>94.3</v>
      </c>
      <c r="G47" s="1691"/>
      <c r="H47" s="1691">
        <v>2.4</v>
      </c>
      <c r="I47" s="1694"/>
      <c r="J47" s="1694"/>
      <c r="K47" s="1694"/>
      <c r="L47" s="1694"/>
      <c r="M47" s="1694"/>
      <c r="N47" s="1694"/>
      <c r="O47" s="1694"/>
    </row>
    <row r="48" spans="1:15" ht="15" customHeight="1">
      <c r="A48" s="1689">
        <v>43605</v>
      </c>
      <c r="B48" s="1696"/>
      <c r="C48" s="1696"/>
      <c r="D48" s="1696"/>
      <c r="E48" s="1696"/>
      <c r="F48" s="1691">
        <v>98</v>
      </c>
      <c r="G48" s="1691"/>
      <c r="H48" s="1691">
        <v>42.9</v>
      </c>
      <c r="I48" s="1694"/>
      <c r="J48" s="1694"/>
      <c r="K48" s="1694"/>
      <c r="L48" s="1694"/>
      <c r="M48" s="1694"/>
      <c r="N48" s="1694"/>
      <c r="O48" s="1694"/>
    </row>
    <row r="49" spans="1:15" ht="15" customHeight="1">
      <c r="A49" s="840">
        <v>43606</v>
      </c>
      <c r="B49" s="1159"/>
      <c r="C49" s="1159"/>
      <c r="D49" s="1159"/>
      <c r="E49" s="1159"/>
      <c r="F49" s="1578">
        <v>97</v>
      </c>
      <c r="G49" s="1578"/>
      <c r="H49" s="1578">
        <v>83</v>
      </c>
      <c r="I49" s="822">
        <v>42511</v>
      </c>
      <c r="J49" s="822"/>
      <c r="K49" s="822"/>
      <c r="L49" s="822"/>
      <c r="M49" s="822"/>
      <c r="N49" s="825"/>
      <c r="O49" s="822"/>
    </row>
    <row r="50" spans="1:15" ht="15" customHeight="1">
      <c r="A50" s="850">
        <v>43955</v>
      </c>
      <c r="B50" s="1160"/>
      <c r="C50" s="1160"/>
      <c r="D50" s="1160"/>
      <c r="E50" s="1160"/>
      <c r="F50" s="1579">
        <v>85.3</v>
      </c>
      <c r="G50" s="1579"/>
      <c r="H50" s="1579">
        <v>0</v>
      </c>
      <c r="N50" s="817"/>
    </row>
    <row r="51" spans="1:15" ht="15" customHeight="1">
      <c r="A51" s="1689">
        <v>43959</v>
      </c>
      <c r="B51" s="1696"/>
      <c r="C51" s="1696"/>
      <c r="D51" s="1696"/>
      <c r="E51" s="1696"/>
      <c r="F51" s="1691">
        <v>94</v>
      </c>
      <c r="G51" s="1691"/>
      <c r="H51" s="1691">
        <v>0</v>
      </c>
      <c r="I51" s="1690"/>
      <c r="J51" s="1690"/>
      <c r="K51" s="1690"/>
      <c r="L51" s="1690"/>
      <c r="M51" s="1690"/>
      <c r="N51" s="1690"/>
      <c r="O51" s="1690"/>
    </row>
    <row r="52" spans="1:15" ht="15" customHeight="1">
      <c r="A52" s="1689">
        <v>43962</v>
      </c>
      <c r="B52" s="1696"/>
      <c r="C52" s="1696"/>
      <c r="D52" s="1696"/>
      <c r="E52" s="1696"/>
      <c r="F52" s="1691">
        <v>88.5</v>
      </c>
      <c r="G52" s="1691"/>
      <c r="H52" s="1691">
        <v>0</v>
      </c>
      <c r="I52" s="1690"/>
      <c r="J52" s="1690"/>
      <c r="K52" s="1690"/>
      <c r="L52" s="1690"/>
      <c r="M52" s="1690"/>
      <c r="N52" s="1690"/>
      <c r="O52" s="1690"/>
    </row>
    <row r="53" spans="1:15" ht="15" customHeight="1">
      <c r="A53" s="1689">
        <v>43964</v>
      </c>
      <c r="B53" s="1696"/>
      <c r="C53" s="1696"/>
      <c r="D53" s="1696"/>
      <c r="E53" s="1696"/>
      <c r="F53" s="1691">
        <v>91.3</v>
      </c>
      <c r="G53" s="1691"/>
      <c r="H53" s="1691">
        <v>4.3</v>
      </c>
      <c r="I53" s="1690"/>
      <c r="J53" s="1690"/>
      <c r="K53" s="1690"/>
      <c r="L53" s="1690"/>
      <c r="M53" s="1690"/>
      <c r="N53" s="1690"/>
      <c r="O53" s="1690"/>
    </row>
    <row r="54" spans="1:15" ht="15" customHeight="1">
      <c r="A54" s="1689">
        <v>43966</v>
      </c>
      <c r="B54" s="1696"/>
      <c r="C54" s="1696"/>
      <c r="D54" s="1696"/>
      <c r="E54" s="1696"/>
      <c r="F54" s="1691">
        <v>99.3</v>
      </c>
      <c r="G54" s="1691"/>
      <c r="H54" s="1691">
        <v>18.899999999999999</v>
      </c>
      <c r="I54" s="1690"/>
      <c r="J54" s="1690"/>
      <c r="K54" s="1690"/>
      <c r="L54" s="1690"/>
      <c r="M54" s="1690"/>
      <c r="N54" s="1690"/>
      <c r="O54" s="1690"/>
    </row>
    <row r="55" spans="1:15" ht="15" customHeight="1">
      <c r="A55" s="840">
        <v>43969</v>
      </c>
      <c r="B55" s="1159"/>
      <c r="C55" s="1159"/>
      <c r="D55" s="1159"/>
      <c r="E55" s="1159"/>
      <c r="F55" s="1578">
        <v>98.7</v>
      </c>
      <c r="G55" s="1578"/>
      <c r="H55" s="1578">
        <v>65.599999999999994</v>
      </c>
      <c r="I55" s="822">
        <v>42508</v>
      </c>
      <c r="J55" s="821"/>
      <c r="K55" s="821"/>
      <c r="L55" s="821"/>
      <c r="M55" s="821"/>
      <c r="N55" s="821"/>
      <c r="O55" s="821"/>
    </row>
    <row r="56" spans="1:15" ht="15" customHeight="1">
      <c r="A56" s="850">
        <v>44320</v>
      </c>
      <c r="B56" s="1160">
        <v>103</v>
      </c>
      <c r="C56" s="1160">
        <v>96</v>
      </c>
      <c r="D56" s="1160">
        <v>1</v>
      </c>
      <c r="E56" s="1160">
        <v>0</v>
      </c>
      <c r="F56" s="1579">
        <f>ROUND(C56/B56*100,1)</f>
        <v>93.2</v>
      </c>
      <c r="G56" s="1579"/>
      <c r="H56" s="1579">
        <f>ROUND(E56/B56*100,1)</f>
        <v>0</v>
      </c>
      <c r="I56" s="825"/>
    </row>
    <row r="57" spans="1:15" ht="15" customHeight="1">
      <c r="A57" s="1689">
        <v>44325</v>
      </c>
      <c r="B57" s="1696">
        <v>130</v>
      </c>
      <c r="C57" s="1696">
        <v>123</v>
      </c>
      <c r="D57" s="1696">
        <v>60</v>
      </c>
      <c r="E57" s="1696">
        <v>10</v>
      </c>
      <c r="F57" s="1691">
        <f>ROUND(C57/B57*100,1)</f>
        <v>94.6</v>
      </c>
      <c r="G57" s="1691"/>
      <c r="H57" s="1691">
        <f>ROUND(E57/B57*100,1)</f>
        <v>7.7</v>
      </c>
      <c r="I57" s="1694"/>
      <c r="J57" s="1690"/>
      <c r="K57" s="1690"/>
      <c r="L57" s="1690"/>
      <c r="M57" s="1690"/>
      <c r="N57" s="1690"/>
      <c r="O57" s="1690"/>
    </row>
    <row r="58" spans="1:15" ht="15" customHeight="1">
      <c r="A58" s="1689">
        <v>44327</v>
      </c>
      <c r="B58" s="1696">
        <v>119</v>
      </c>
      <c r="C58" s="1696">
        <v>118</v>
      </c>
      <c r="D58" s="1696">
        <v>85</v>
      </c>
      <c r="E58" s="1696">
        <v>14</v>
      </c>
      <c r="F58" s="1691">
        <f>ROUND(C58/B58*100,1)</f>
        <v>99.2</v>
      </c>
      <c r="G58" s="1691"/>
      <c r="H58" s="1691">
        <f>ROUND(E58/B58*100,1)</f>
        <v>11.8</v>
      </c>
      <c r="I58" s="1694"/>
      <c r="J58" s="1690"/>
      <c r="K58" s="1690"/>
      <c r="L58" s="1690"/>
      <c r="M58" s="1690"/>
      <c r="N58" s="1690"/>
      <c r="O58" s="1690"/>
    </row>
    <row r="59" spans="1:15" ht="15" customHeight="1">
      <c r="A59" s="1689">
        <v>44329</v>
      </c>
      <c r="B59" s="1696">
        <v>119</v>
      </c>
      <c r="C59" s="1696">
        <v>117</v>
      </c>
      <c r="D59" s="1696">
        <v>100</v>
      </c>
      <c r="E59" s="1696">
        <v>50</v>
      </c>
      <c r="F59" s="1691">
        <f>ROUND(C59/B59*100,1)</f>
        <v>98.3</v>
      </c>
      <c r="G59" s="1691"/>
      <c r="H59" s="1691">
        <f>ROUND(E59/B59*100,1)</f>
        <v>42</v>
      </c>
      <c r="I59" s="1694"/>
      <c r="J59" s="1690"/>
      <c r="K59" s="1690"/>
      <c r="L59" s="1690"/>
      <c r="M59" s="1690"/>
      <c r="N59" s="1690"/>
      <c r="O59" s="1690"/>
    </row>
    <row r="60" spans="1:15" ht="15" customHeight="1">
      <c r="A60" s="840">
        <v>44330</v>
      </c>
      <c r="B60" s="1159">
        <v>156</v>
      </c>
      <c r="C60" s="1159">
        <v>156</v>
      </c>
      <c r="D60" s="1159">
        <v>142</v>
      </c>
      <c r="E60" s="1159">
        <v>80</v>
      </c>
      <c r="F60" s="1578">
        <f>ROUND(C60/B60*100,1)</f>
        <v>100</v>
      </c>
      <c r="G60" s="1578"/>
      <c r="H60" s="1578">
        <f>ROUND(E60/B60*100,1)</f>
        <v>51.3</v>
      </c>
      <c r="I60" s="822">
        <v>42504</v>
      </c>
      <c r="J60" s="822">
        <v>42506</v>
      </c>
      <c r="K60" s="822"/>
      <c r="L60" s="822"/>
      <c r="M60" s="822"/>
      <c r="N60" s="822"/>
      <c r="O60" s="822"/>
    </row>
    <row r="61" spans="1:15" ht="15" customHeight="1">
      <c r="A61" s="1173">
        <v>44687</v>
      </c>
      <c r="B61" s="218">
        <v>128</v>
      </c>
      <c r="C61" s="218">
        <v>126</v>
      </c>
      <c r="D61" s="218">
        <v>1</v>
      </c>
      <c r="E61" s="218">
        <v>0</v>
      </c>
      <c r="F61" s="1581">
        <f>IF(OR(B61="",C61=""),"",ROUND(C61/B61*100,1))</f>
        <v>98.4</v>
      </c>
      <c r="G61" s="1581">
        <f>IF(OR(B61="",D61=""),"",ROUND(D61/B61*100,1))</f>
        <v>0.8</v>
      </c>
      <c r="H61" s="1581">
        <f>IF(OR(B61="",E61=""),"",ROUND(E61/B61*100,1))</f>
        <v>0</v>
      </c>
      <c r="I61" s="1574"/>
      <c r="J61" s="218"/>
      <c r="K61" s="218"/>
      <c r="L61" s="218"/>
      <c r="M61" s="218"/>
      <c r="N61" s="218">
        <v>0</v>
      </c>
      <c r="O61" s="218"/>
    </row>
    <row r="62" spans="1:15" ht="15" customHeight="1">
      <c r="A62" s="1689">
        <v>44690</v>
      </c>
      <c r="B62" s="1690">
        <v>118</v>
      </c>
      <c r="C62" s="1690">
        <v>114</v>
      </c>
      <c r="D62" s="1690">
        <v>69</v>
      </c>
      <c r="E62" s="1690">
        <v>20</v>
      </c>
      <c r="F62" s="1691">
        <f t="shared" ref="F62:F67" si="0">IF(OR(B62="",C62=""),"",ROUND(C62/B62*100,1))</f>
        <v>96.6</v>
      </c>
      <c r="G62" s="1692">
        <f>IF(OR(B62="",D62=""),"",ROUND(D62/B62*100,1))</f>
        <v>58.5</v>
      </c>
      <c r="H62" s="1692">
        <f>IF(OR(B62="",E62=""),"",ROUND(E62/B62*100,1))</f>
        <v>16.899999999999999</v>
      </c>
      <c r="I62" s="1690"/>
      <c r="J62" s="1690"/>
      <c r="K62" s="1693" t="s">
        <v>466</v>
      </c>
      <c r="L62" s="1693" t="s">
        <v>467</v>
      </c>
      <c r="M62" s="1693" t="s">
        <v>467</v>
      </c>
      <c r="N62" s="1690">
        <v>1</v>
      </c>
      <c r="O62" s="1690"/>
    </row>
    <row r="63" spans="1:15" ht="15" customHeight="1">
      <c r="A63" s="1689">
        <v>44691</v>
      </c>
      <c r="B63" s="1690">
        <v>124</v>
      </c>
      <c r="C63" s="1690">
        <v>119</v>
      </c>
      <c r="D63" s="1690">
        <v>80</v>
      </c>
      <c r="E63" s="1690">
        <v>32</v>
      </c>
      <c r="F63" s="1691">
        <f t="shared" si="0"/>
        <v>96</v>
      </c>
      <c r="G63" s="1692">
        <f t="shared" ref="G63:G77" si="1">IF(OR(B63="",D63=""),"",ROUND(D63/B63*100,1))</f>
        <v>64.5</v>
      </c>
      <c r="H63" s="1692">
        <f t="shared" ref="H63:H70" si="2">IF(OR(B63="",E63=""),"",ROUND(E63/B63*100,1))</f>
        <v>25.8</v>
      </c>
      <c r="I63" s="1690"/>
      <c r="J63" s="1690"/>
      <c r="K63" s="1690">
        <v>9</v>
      </c>
      <c r="L63" s="1690">
        <v>0</v>
      </c>
      <c r="M63" s="1690">
        <v>2</v>
      </c>
      <c r="N63" s="1690">
        <v>3</v>
      </c>
      <c r="O63" s="1690"/>
    </row>
    <row r="64" spans="1:15" ht="15" customHeight="1">
      <c r="A64" s="1689">
        <v>44692</v>
      </c>
      <c r="B64" s="1690">
        <v>204</v>
      </c>
      <c r="C64" s="1690">
        <v>200</v>
      </c>
      <c r="D64" s="1690">
        <v>138</v>
      </c>
      <c r="E64" s="1690">
        <v>51</v>
      </c>
      <c r="F64" s="1691">
        <f t="shared" si="0"/>
        <v>98</v>
      </c>
      <c r="G64" s="1692">
        <f t="shared" si="1"/>
        <v>67.599999999999994</v>
      </c>
      <c r="H64" s="1692">
        <f t="shared" si="2"/>
        <v>25</v>
      </c>
      <c r="I64" s="1690"/>
      <c r="J64" s="1690"/>
      <c r="K64" s="1690">
        <v>89</v>
      </c>
      <c r="L64" s="1690">
        <v>0</v>
      </c>
      <c r="M64" s="1690">
        <v>1</v>
      </c>
      <c r="N64" s="1690">
        <v>1</v>
      </c>
      <c r="O64" s="1690"/>
    </row>
    <row r="65" spans="1:15" ht="15" customHeight="1">
      <c r="A65" s="1689">
        <v>44693</v>
      </c>
      <c r="B65" s="1690">
        <v>154</v>
      </c>
      <c r="C65" s="1690">
        <v>147</v>
      </c>
      <c r="D65" s="1690">
        <v>118</v>
      </c>
      <c r="E65" s="1690">
        <v>68</v>
      </c>
      <c r="F65" s="1691">
        <f t="shared" si="0"/>
        <v>95.5</v>
      </c>
      <c r="G65" s="1692">
        <f t="shared" si="1"/>
        <v>76.599999999999994</v>
      </c>
      <c r="H65" s="1692">
        <f t="shared" si="2"/>
        <v>44.2</v>
      </c>
      <c r="I65" s="1690"/>
      <c r="J65" s="1690"/>
      <c r="K65" s="1690">
        <v>39</v>
      </c>
      <c r="L65" s="1690">
        <v>1</v>
      </c>
      <c r="M65" s="1690">
        <v>1</v>
      </c>
      <c r="N65" s="1690">
        <v>6</v>
      </c>
      <c r="O65" s="1690"/>
    </row>
    <row r="66" spans="1:15" ht="15" customHeight="1">
      <c r="A66" s="1689">
        <v>44694</v>
      </c>
      <c r="B66" s="1690">
        <v>111</v>
      </c>
      <c r="C66" s="1690">
        <v>110</v>
      </c>
      <c r="D66" s="1690">
        <v>99</v>
      </c>
      <c r="E66" s="1690">
        <v>55</v>
      </c>
      <c r="F66" s="1691">
        <f t="shared" si="0"/>
        <v>99.1</v>
      </c>
      <c r="G66" s="1692">
        <f t="shared" si="1"/>
        <v>89.2</v>
      </c>
      <c r="H66" s="1692">
        <f t="shared" si="2"/>
        <v>49.5</v>
      </c>
      <c r="I66" s="1694">
        <v>42503</v>
      </c>
      <c r="J66" s="1690"/>
      <c r="K66" s="1690">
        <v>0</v>
      </c>
      <c r="L66" s="1690">
        <v>0</v>
      </c>
      <c r="M66" s="1690">
        <v>1</v>
      </c>
      <c r="N66" s="1690">
        <v>1</v>
      </c>
      <c r="O66" s="1690"/>
    </row>
    <row r="67" spans="1:15" ht="15" customHeight="1">
      <c r="A67" s="1689">
        <v>44695</v>
      </c>
      <c r="B67" s="1690">
        <v>123</v>
      </c>
      <c r="C67" s="1690">
        <v>122</v>
      </c>
      <c r="D67" s="1690">
        <v>110</v>
      </c>
      <c r="E67" s="1690">
        <v>68</v>
      </c>
      <c r="F67" s="1691">
        <f t="shared" si="0"/>
        <v>99.2</v>
      </c>
      <c r="G67" s="1692">
        <f t="shared" si="1"/>
        <v>89.4</v>
      </c>
      <c r="H67" s="1692">
        <f t="shared" si="2"/>
        <v>55.3</v>
      </c>
      <c r="I67" s="1694"/>
      <c r="J67" s="1690"/>
      <c r="K67" s="1690"/>
      <c r="L67" s="1690"/>
      <c r="M67" s="1690"/>
      <c r="N67" s="1690">
        <v>2</v>
      </c>
      <c r="O67" s="1690"/>
    </row>
    <row r="68" spans="1:15" ht="15" customHeight="1">
      <c r="A68" s="1689">
        <v>44696</v>
      </c>
      <c r="B68" s="1690">
        <v>124</v>
      </c>
      <c r="C68" s="1690">
        <v>123</v>
      </c>
      <c r="D68" s="1690">
        <v>114</v>
      </c>
      <c r="E68" s="1690">
        <v>70</v>
      </c>
      <c r="F68" s="1691">
        <f t="shared" ref="F68:F70" si="3">IF(OR(B68="",C68=""),"",ROUND(C68/B68*100,1))</f>
        <v>99.2</v>
      </c>
      <c r="G68" s="1692">
        <f t="shared" si="1"/>
        <v>91.9</v>
      </c>
      <c r="H68" s="1692">
        <f t="shared" si="2"/>
        <v>56.5</v>
      </c>
      <c r="I68" s="1694"/>
      <c r="J68" s="1690"/>
      <c r="K68" s="1690"/>
      <c r="L68" s="1690"/>
      <c r="M68" s="1690"/>
      <c r="N68" s="1690"/>
      <c r="O68" s="1690"/>
    </row>
    <row r="69" spans="1:15" ht="15" customHeight="1">
      <c r="A69" s="1689">
        <v>44697</v>
      </c>
      <c r="B69" s="1690">
        <v>130</v>
      </c>
      <c r="C69" s="1690">
        <v>127</v>
      </c>
      <c r="D69" s="1690">
        <v>125</v>
      </c>
      <c r="E69" s="1690">
        <v>90</v>
      </c>
      <c r="F69" s="1691">
        <f t="shared" si="3"/>
        <v>97.7</v>
      </c>
      <c r="G69" s="1692">
        <f t="shared" si="1"/>
        <v>96.2</v>
      </c>
      <c r="H69" s="1692">
        <f t="shared" si="2"/>
        <v>69.2</v>
      </c>
      <c r="I69" s="1694"/>
      <c r="J69" s="1690"/>
      <c r="K69" s="1690"/>
      <c r="L69" s="1690"/>
      <c r="M69" s="1690"/>
      <c r="N69" s="1690">
        <v>2</v>
      </c>
      <c r="O69" s="1690"/>
    </row>
    <row r="70" spans="1:15" ht="15" customHeight="1">
      <c r="A70" s="1689">
        <v>44698</v>
      </c>
      <c r="B70" s="1690">
        <v>156</v>
      </c>
      <c r="C70" s="1690">
        <v>154</v>
      </c>
      <c r="D70" s="1690">
        <v>150</v>
      </c>
      <c r="E70" s="1690">
        <v>96</v>
      </c>
      <c r="F70" s="1691">
        <f t="shared" si="3"/>
        <v>98.7</v>
      </c>
      <c r="G70" s="1692">
        <f t="shared" si="1"/>
        <v>96.2</v>
      </c>
      <c r="H70" s="1692">
        <f t="shared" si="2"/>
        <v>61.5</v>
      </c>
      <c r="I70" s="1694"/>
      <c r="J70" s="1690"/>
      <c r="K70" s="1690"/>
      <c r="L70" s="1690"/>
      <c r="M70" s="1690"/>
      <c r="N70" s="1690">
        <v>6</v>
      </c>
      <c r="O70" s="1690"/>
    </row>
    <row r="71" spans="1:15" ht="15" customHeight="1">
      <c r="A71" s="1689">
        <v>44699</v>
      </c>
      <c r="B71" s="1690">
        <v>184</v>
      </c>
      <c r="C71" s="1690">
        <v>183</v>
      </c>
      <c r="D71" s="1690">
        <v>181</v>
      </c>
      <c r="E71" s="1690">
        <v>126</v>
      </c>
      <c r="F71" s="1691">
        <f t="shared" ref="F71:F77" si="4">IF(OR(B71="",C71=""),"",ROUND(C71/B71*100,1))</f>
        <v>99.5</v>
      </c>
      <c r="G71" s="1692">
        <f t="shared" si="1"/>
        <v>98.4</v>
      </c>
      <c r="H71" s="1692">
        <f t="shared" ref="H71:H77" si="5">IF(OR(B71="",E71=""),"",ROUND(E71/B71*100,1))</f>
        <v>68.5</v>
      </c>
      <c r="I71" s="1694"/>
      <c r="J71" s="1690"/>
      <c r="K71" s="1690"/>
      <c r="L71" s="1690"/>
      <c r="M71" s="1690"/>
      <c r="N71" s="1690">
        <v>13</v>
      </c>
      <c r="O71" s="1690"/>
    </row>
    <row r="72" spans="1:15" ht="15" customHeight="1">
      <c r="A72" s="1689">
        <v>44700</v>
      </c>
      <c r="B72" s="1690">
        <v>125</v>
      </c>
      <c r="C72" s="1690">
        <v>124</v>
      </c>
      <c r="D72" s="1690">
        <v>124</v>
      </c>
      <c r="E72" s="1690">
        <v>104</v>
      </c>
      <c r="F72" s="1691">
        <f t="shared" si="4"/>
        <v>99.2</v>
      </c>
      <c r="G72" s="1692">
        <f t="shared" si="1"/>
        <v>99.2</v>
      </c>
      <c r="H72" s="1692">
        <f t="shared" si="5"/>
        <v>83.2</v>
      </c>
      <c r="I72" s="1694"/>
      <c r="J72" s="1690"/>
      <c r="K72" s="1690"/>
      <c r="L72" s="1690"/>
      <c r="M72" s="1690"/>
      <c r="N72" s="1690">
        <v>16</v>
      </c>
      <c r="O72" s="1690"/>
    </row>
    <row r="73" spans="1:15" ht="15" customHeight="1">
      <c r="A73" s="840">
        <v>44701</v>
      </c>
      <c r="B73" s="821">
        <v>161</v>
      </c>
      <c r="C73" s="821">
        <v>161</v>
      </c>
      <c r="D73" s="821">
        <v>161</v>
      </c>
      <c r="E73" s="821">
        <v>152</v>
      </c>
      <c r="F73" s="1578">
        <f t="shared" si="4"/>
        <v>100</v>
      </c>
      <c r="G73" s="1680">
        <f t="shared" si="1"/>
        <v>100</v>
      </c>
      <c r="H73" s="1680">
        <f t="shared" si="5"/>
        <v>94.4</v>
      </c>
      <c r="I73" s="822"/>
      <c r="J73" s="821"/>
      <c r="K73" s="821"/>
      <c r="L73" s="821"/>
      <c r="M73" s="821"/>
      <c r="N73" s="821">
        <v>19</v>
      </c>
      <c r="O73" s="821"/>
    </row>
    <row r="74" spans="1:15" ht="15" customHeight="1">
      <c r="A74" s="1681">
        <v>45058</v>
      </c>
      <c r="B74" s="1682">
        <v>100</v>
      </c>
      <c r="C74" s="1682">
        <v>96</v>
      </c>
      <c r="D74" s="1682">
        <v>96</v>
      </c>
      <c r="E74" s="1682">
        <v>55</v>
      </c>
      <c r="F74" s="1683">
        <f t="shared" si="4"/>
        <v>96</v>
      </c>
      <c r="G74" s="1684">
        <f t="shared" si="1"/>
        <v>96</v>
      </c>
      <c r="H74" s="1684">
        <f t="shared" si="5"/>
        <v>55</v>
      </c>
      <c r="I74" s="1685">
        <v>42502</v>
      </c>
      <c r="J74" s="1682"/>
      <c r="K74" s="1682"/>
      <c r="L74" s="1682"/>
      <c r="M74" s="1682"/>
      <c r="N74" s="1682"/>
      <c r="O74" s="1682"/>
    </row>
    <row r="75" spans="1:15" ht="15" customHeight="1">
      <c r="A75" s="850">
        <v>45417</v>
      </c>
      <c r="B75" s="814">
        <v>100</v>
      </c>
      <c r="C75" s="814">
        <v>84</v>
      </c>
      <c r="D75" s="814">
        <v>2</v>
      </c>
      <c r="E75" s="814">
        <v>0</v>
      </c>
      <c r="F75" s="1577">
        <f t="shared" si="4"/>
        <v>84</v>
      </c>
      <c r="G75" s="1581">
        <f t="shared" si="1"/>
        <v>2</v>
      </c>
      <c r="H75" s="1581">
        <f t="shared" si="5"/>
        <v>0</v>
      </c>
      <c r="I75" s="825"/>
      <c r="O75" s="820"/>
    </row>
    <row r="76" spans="1:15" ht="15" customHeight="1">
      <c r="A76" s="1689">
        <v>45421</v>
      </c>
      <c r="B76" s="1690">
        <v>100</v>
      </c>
      <c r="C76" s="1690">
        <v>97</v>
      </c>
      <c r="D76" s="1690">
        <v>67</v>
      </c>
      <c r="E76" s="1690">
        <v>37</v>
      </c>
      <c r="F76" s="1691">
        <f t="shared" si="4"/>
        <v>97</v>
      </c>
      <c r="G76" s="1692">
        <f t="shared" si="1"/>
        <v>67</v>
      </c>
      <c r="H76" s="1692">
        <f t="shared" si="5"/>
        <v>37</v>
      </c>
      <c r="I76" s="1694"/>
      <c r="J76" s="1690"/>
      <c r="K76" s="1690"/>
      <c r="L76" s="1690"/>
      <c r="M76" s="1690"/>
      <c r="N76" s="1690"/>
      <c r="O76" s="1690"/>
    </row>
    <row r="77" spans="1:15" ht="15" customHeight="1">
      <c r="A77" s="840">
        <v>45422</v>
      </c>
      <c r="B77" s="821">
        <v>100</v>
      </c>
      <c r="C77" s="821">
        <v>93</v>
      </c>
      <c r="D77" s="821">
        <v>81</v>
      </c>
      <c r="E77" s="821">
        <v>54</v>
      </c>
      <c r="F77" s="1578">
        <f t="shared" si="4"/>
        <v>93</v>
      </c>
      <c r="G77" s="1680">
        <f t="shared" si="1"/>
        <v>81</v>
      </c>
      <c r="H77" s="1680">
        <f t="shared" si="5"/>
        <v>54</v>
      </c>
      <c r="I77" s="822">
        <v>42500</v>
      </c>
      <c r="J77" s="821"/>
      <c r="K77" s="821"/>
      <c r="L77" s="821"/>
      <c r="M77" s="821"/>
      <c r="N77" s="821"/>
      <c r="O77" s="821"/>
    </row>
    <row r="78" spans="1:15" ht="15" customHeight="1">
      <c r="A78" s="850">
        <v>45786</v>
      </c>
      <c r="B78" s="218">
        <v>100</v>
      </c>
      <c r="C78" s="218">
        <v>89</v>
      </c>
      <c r="D78" s="218">
        <v>4</v>
      </c>
      <c r="E78" s="218">
        <v>0</v>
      </c>
      <c r="F78" s="1577">
        <f t="shared" ref="F78:F80" si="6">IF(OR(B78="",C78=""),"",ROUND(C78/B78*100,1))</f>
        <v>89</v>
      </c>
      <c r="G78" s="1581">
        <f t="shared" ref="G78:G80" si="7">IF(OR(B78="",D78=""),"",ROUND(D78/B78*100,1))</f>
        <v>4</v>
      </c>
      <c r="H78" s="1581">
        <f t="shared" ref="H78:H80" si="8">IF(OR(B78="",E78=""),"",ROUND(E78/B78*100,1))</f>
        <v>0</v>
      </c>
      <c r="I78" s="825"/>
      <c r="O78" s="820"/>
    </row>
    <row r="79" spans="1:15" ht="15" customHeight="1">
      <c r="A79" s="1689">
        <v>45789</v>
      </c>
      <c r="B79" s="1697">
        <v>100</v>
      </c>
      <c r="C79" s="1697">
        <v>97</v>
      </c>
      <c r="D79" s="1697">
        <v>6</v>
      </c>
      <c r="E79" s="1697">
        <v>1</v>
      </c>
      <c r="F79" s="1691">
        <f t="shared" si="6"/>
        <v>97</v>
      </c>
      <c r="G79" s="1692">
        <f t="shared" si="7"/>
        <v>6</v>
      </c>
      <c r="H79" s="1692">
        <f t="shared" si="8"/>
        <v>1</v>
      </c>
      <c r="I79" s="1694"/>
      <c r="J79" s="1690"/>
      <c r="K79" s="1690"/>
      <c r="L79" s="1690"/>
      <c r="M79" s="1690"/>
      <c r="N79" s="1690"/>
      <c r="O79" s="1690"/>
    </row>
    <row r="80" spans="1:15" ht="15" customHeight="1">
      <c r="A80" s="1689">
        <v>45791</v>
      </c>
      <c r="B80" s="1697">
        <v>100</v>
      </c>
      <c r="C80" s="1697">
        <v>99</v>
      </c>
      <c r="D80" s="1697">
        <v>16</v>
      </c>
      <c r="E80" s="1697">
        <v>2</v>
      </c>
      <c r="F80" s="1691">
        <f t="shared" si="6"/>
        <v>99</v>
      </c>
      <c r="G80" s="1692">
        <f t="shared" si="7"/>
        <v>16</v>
      </c>
      <c r="H80" s="1692">
        <f t="shared" si="8"/>
        <v>2</v>
      </c>
      <c r="I80" s="1694"/>
      <c r="J80" s="1690"/>
      <c r="K80" s="1690"/>
      <c r="L80" s="1690"/>
      <c r="M80" s="1690"/>
      <c r="N80" s="1690"/>
      <c r="O80" s="1690"/>
    </row>
    <row r="81" spans="1:15" ht="15" customHeight="1">
      <c r="A81" s="1689">
        <v>45793</v>
      </c>
      <c r="B81" s="1697">
        <v>100</v>
      </c>
      <c r="C81" s="1697">
        <v>100</v>
      </c>
      <c r="D81" s="1697">
        <v>79</v>
      </c>
      <c r="E81" s="1697">
        <v>30</v>
      </c>
      <c r="F81" s="1691">
        <f t="shared" ref="F81:F85" si="9">IF(OR(B81="",C81=""),"",ROUND(C81/B81*100,1))</f>
        <v>100</v>
      </c>
      <c r="G81" s="1692">
        <f t="shared" ref="G81:G85" si="10">IF(OR(B81="",D81=""),"",ROUND(D81/B81*100,1))</f>
        <v>79</v>
      </c>
      <c r="H81" s="1692">
        <f t="shared" ref="H81:H85" si="11">IF(OR(B81="",E81=""),"",ROUND(E81/B81*100,1))</f>
        <v>30</v>
      </c>
      <c r="I81" s="1694"/>
      <c r="J81" s="1690"/>
      <c r="K81" s="1690"/>
      <c r="L81" s="1690"/>
      <c r="M81" s="1690"/>
      <c r="N81" s="1690"/>
      <c r="O81" s="1690"/>
    </row>
    <row r="82" spans="1:15" ht="15" customHeight="1">
      <c r="A82" s="1768">
        <v>45796</v>
      </c>
      <c r="B82" s="1773">
        <v>100</v>
      </c>
      <c r="C82" s="1773">
        <v>100</v>
      </c>
      <c r="D82" s="1773">
        <v>89</v>
      </c>
      <c r="E82" s="1773">
        <v>61</v>
      </c>
      <c r="F82" s="1769">
        <f t="shared" si="9"/>
        <v>100</v>
      </c>
      <c r="G82" s="1770">
        <f t="shared" si="10"/>
        <v>89</v>
      </c>
      <c r="H82" s="1770">
        <f t="shared" si="11"/>
        <v>61</v>
      </c>
      <c r="I82" s="1771">
        <v>42509</v>
      </c>
      <c r="J82" s="1772"/>
      <c r="K82" s="1772"/>
      <c r="L82" s="1772"/>
      <c r="M82" s="1772"/>
      <c r="N82" s="1772"/>
      <c r="O82" s="1772"/>
    </row>
    <row r="83" spans="1:15" ht="15" customHeight="1">
      <c r="A83" s="850">
        <v>46154</v>
      </c>
      <c r="B83" s="1688">
        <v>100</v>
      </c>
      <c r="C83" s="1688">
        <v>90</v>
      </c>
      <c r="D83" s="1688">
        <v>3</v>
      </c>
      <c r="E83" s="1688">
        <v>0</v>
      </c>
      <c r="F83" s="1577">
        <f t="shared" si="9"/>
        <v>90</v>
      </c>
      <c r="G83" s="1581">
        <f t="shared" si="10"/>
        <v>3</v>
      </c>
      <c r="H83" s="1581">
        <f t="shared" si="11"/>
        <v>0</v>
      </c>
      <c r="I83" s="825"/>
      <c r="O83" s="820"/>
    </row>
    <row r="84" spans="1:15" ht="15" customHeight="1">
      <c r="A84" s="1689">
        <v>46156</v>
      </c>
      <c r="B84" s="1695">
        <v>100</v>
      </c>
      <c r="C84" s="1695">
        <v>95</v>
      </c>
      <c r="D84" s="1695">
        <v>55</v>
      </c>
      <c r="E84" s="1695">
        <v>15</v>
      </c>
      <c r="F84" s="1691">
        <f t="shared" si="9"/>
        <v>95</v>
      </c>
      <c r="G84" s="1692">
        <f t="shared" si="10"/>
        <v>55</v>
      </c>
      <c r="H84" s="1692">
        <f t="shared" si="11"/>
        <v>15</v>
      </c>
      <c r="I84" s="1694"/>
      <c r="J84" s="1690"/>
      <c r="K84" s="1690"/>
      <c r="L84" s="1690"/>
      <c r="M84" s="1690"/>
      <c r="N84" s="1690"/>
      <c r="O84" s="1690"/>
    </row>
    <row r="85" spans="1:15" ht="15" customHeight="1">
      <c r="A85" s="1689">
        <v>46157</v>
      </c>
      <c r="B85" s="1695">
        <v>100</v>
      </c>
      <c r="C85" s="1695">
        <v>100</v>
      </c>
      <c r="D85" s="1695">
        <v>75</v>
      </c>
      <c r="E85" s="1695">
        <v>59</v>
      </c>
      <c r="F85" s="1691">
        <f t="shared" si="9"/>
        <v>100</v>
      </c>
      <c r="G85" s="1692">
        <f t="shared" si="10"/>
        <v>75</v>
      </c>
      <c r="H85" s="1692">
        <f t="shared" si="11"/>
        <v>59</v>
      </c>
      <c r="I85" s="1694"/>
      <c r="J85" s="1690"/>
      <c r="K85" s="1690"/>
      <c r="L85" s="1690"/>
      <c r="M85" s="1690"/>
      <c r="N85" s="1690"/>
      <c r="O85" s="1690"/>
    </row>
    <row r="86" spans="1:15" ht="15" customHeight="1">
      <c r="A86" s="1689">
        <v>46160</v>
      </c>
      <c r="B86" s="1695">
        <v>100</v>
      </c>
      <c r="C86" s="1695">
        <v>100</v>
      </c>
      <c r="D86" s="1695">
        <v>95</v>
      </c>
      <c r="E86" s="1695">
        <v>88</v>
      </c>
      <c r="F86" s="1691">
        <f t="shared" ref="F86:F87" si="12">IF(OR(B86="",C86=""),"",ROUND(C86/B86*100,1))</f>
        <v>100</v>
      </c>
      <c r="G86" s="1692">
        <f t="shared" ref="G86:G87" si="13">IF(OR(B86="",D86=""),"",ROUND(D86/B86*100,1))</f>
        <v>95</v>
      </c>
      <c r="H86" s="1692">
        <f t="shared" ref="H86:H87" si="14">IF(OR(B86="",E86=""),"",ROUND(E86/B86*100,1))</f>
        <v>88</v>
      </c>
      <c r="I86" s="1694">
        <v>46157</v>
      </c>
      <c r="J86" s="1690"/>
      <c r="K86" s="1690"/>
      <c r="L86" s="1690"/>
      <c r="M86" s="1690"/>
      <c r="N86" s="1690"/>
      <c r="O86" s="1690"/>
    </row>
    <row r="87" spans="1:15" ht="15" customHeight="1">
      <c r="A87" s="850"/>
      <c r="B87" s="1688">
        <v>100</v>
      </c>
      <c r="C87" s="1688"/>
      <c r="D87" s="1688"/>
      <c r="E87" s="1688"/>
      <c r="F87" s="1577" t="str">
        <f t="shared" si="12"/>
        <v/>
      </c>
      <c r="G87" s="1581" t="str">
        <f t="shared" si="13"/>
        <v/>
      </c>
      <c r="H87" s="1581" t="str">
        <f t="shared" si="14"/>
        <v/>
      </c>
      <c r="I87" s="828"/>
      <c r="O87" s="821"/>
    </row>
    <row r="88" spans="1:15" ht="15" customHeight="1">
      <c r="A88" s="1699" t="s">
        <v>309</v>
      </c>
      <c r="B88" s="1699"/>
      <c r="C88" s="1699"/>
      <c r="D88" s="1699"/>
      <c r="E88" s="1699"/>
      <c r="F88" s="1699"/>
      <c r="G88" s="1699"/>
      <c r="H88" s="1700"/>
      <c r="I88" s="1700">
        <f>AVERAGE(I33:I82)</f>
        <v>42504.7</v>
      </c>
      <c r="J88" s="1700"/>
      <c r="K88" s="1700"/>
      <c r="L88" s="1700"/>
      <c r="M88" s="1700"/>
      <c r="N88" s="1700"/>
      <c r="O88" s="1701"/>
    </row>
    <row r="89" spans="1:15" ht="15" customHeight="1">
      <c r="O89" s="817"/>
    </row>
  </sheetData>
  <mergeCells count="12">
    <mergeCell ref="N4:O4"/>
    <mergeCell ref="K4:M4"/>
    <mergeCell ref="A4:A5"/>
    <mergeCell ref="B4:B5"/>
    <mergeCell ref="C4:C5"/>
    <mergeCell ref="D4:D5"/>
    <mergeCell ref="E4:E5"/>
    <mergeCell ref="F4:F5"/>
    <mergeCell ref="G4:G5"/>
    <mergeCell ref="H4:H5"/>
    <mergeCell ref="I4:I5"/>
    <mergeCell ref="J4:J5"/>
  </mergeCells>
  <phoneticPr fontId="2"/>
  <printOptions horizontalCentered="1" verticalCentered="1"/>
  <pageMargins left="0.78740157480314965" right="0.78740157480314965" top="0.19685039370078741" bottom="0.19685039370078741" header="0.51181102362204722" footer="0.51181102362204722"/>
  <pageSetup paperSize="9" scale="73" orientation="portrait" cellComments="asDisplayed" r:id="rId1"/>
  <headerFooter alignWithMargins="0"/>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C37768-D5D4-4B61-8FC9-306F7552DE96}">
  <sheetPr>
    <tabColor rgb="FF7030A0"/>
    <pageSetUpPr fitToPage="1"/>
  </sheetPr>
  <dimension ref="A1:V87"/>
  <sheetViews>
    <sheetView zoomScale="80" zoomScaleNormal="80" zoomScaleSheetLayoutView="75" workbookViewId="0">
      <pane xSplit="1" ySplit="5" topLeftCell="B62" activePane="bottomRight" state="frozen"/>
      <selection pane="topRight" activeCell="B1" sqref="B1"/>
      <selection pane="bottomLeft" activeCell="A5" sqref="A5"/>
      <selection pane="bottomRight" activeCell="W65" sqref="W65"/>
    </sheetView>
  </sheetViews>
  <sheetFormatPr defaultColWidth="9" defaultRowHeight="13"/>
  <cols>
    <col min="1" max="1" width="9.36328125" style="814" customWidth="1"/>
    <col min="2" max="4" width="7" style="814" customWidth="1"/>
    <col min="5" max="8" width="9.08984375" style="814" customWidth="1"/>
    <col min="9" max="9" width="15" style="814" customWidth="1"/>
    <col min="10" max="10" width="10.90625" style="814" bestFit="1" customWidth="1"/>
    <col min="11" max="11" width="5.6328125" style="814" customWidth="1"/>
    <col min="12" max="12" width="6.08984375" style="814" customWidth="1"/>
    <col min="13" max="13" width="9.36328125" style="218" bestFit="1" customWidth="1"/>
    <col min="14" max="14" width="6.26953125" style="218" bestFit="1" customWidth="1"/>
    <col min="15" max="18" width="3" style="1169" bestFit="1" customWidth="1"/>
    <col min="19" max="19" width="5.26953125" style="1170" bestFit="1" customWidth="1"/>
    <col min="20" max="22" width="3.7265625" style="218" bestFit="1" customWidth="1"/>
    <col min="23" max="23" width="3.7265625" style="814" bestFit="1" customWidth="1"/>
    <col min="24" max="24" width="5.26953125" style="814" bestFit="1" customWidth="1"/>
    <col min="25" max="16384" width="9" style="814"/>
  </cols>
  <sheetData>
    <row r="1" spans="1:22">
      <c r="A1" s="1687" t="s">
        <v>528</v>
      </c>
      <c r="B1" s="1687"/>
      <c r="C1" s="1687"/>
      <c r="D1" s="1687"/>
      <c r="E1" s="1687"/>
      <c r="F1" s="1687"/>
      <c r="G1" s="1687"/>
      <c r="H1" s="1687"/>
      <c r="I1" s="1687"/>
      <c r="J1" s="1687"/>
      <c r="K1" s="1687"/>
    </row>
    <row r="2" spans="1:22">
      <c r="A2" s="814" t="s">
        <v>311</v>
      </c>
      <c r="E2" s="1740" t="s">
        <v>335</v>
      </c>
      <c r="M2" s="814"/>
      <c r="N2" s="814"/>
      <c r="O2" s="814"/>
      <c r="P2" s="814"/>
      <c r="Q2" s="814"/>
      <c r="R2" s="814"/>
      <c r="S2" s="814"/>
      <c r="T2" s="814"/>
      <c r="U2" s="814"/>
      <c r="V2" s="814"/>
    </row>
    <row r="3" spans="1:22">
      <c r="A3" s="821" t="s">
        <v>151</v>
      </c>
      <c r="B3" s="821"/>
      <c r="C3" s="821"/>
      <c r="D3" s="821"/>
      <c r="E3" s="821"/>
      <c r="F3" s="821"/>
      <c r="G3" s="821"/>
      <c r="H3" s="821"/>
      <c r="I3" s="821"/>
      <c r="J3" s="911"/>
      <c r="K3" s="911"/>
      <c r="M3" s="814"/>
      <c r="N3" s="814"/>
      <c r="O3" s="814"/>
      <c r="P3" s="814"/>
      <c r="Q3" s="814"/>
      <c r="R3" s="814"/>
      <c r="S3" s="814"/>
      <c r="T3" s="814"/>
      <c r="U3" s="814"/>
      <c r="V3" s="814"/>
    </row>
    <row r="4" spans="1:22" ht="12.75" customHeight="1">
      <c r="A4" s="1950" t="s">
        <v>312</v>
      </c>
      <c r="B4" s="1952" t="s">
        <v>367</v>
      </c>
      <c r="C4" s="1952" t="s">
        <v>371</v>
      </c>
      <c r="D4" s="1952" t="s">
        <v>370</v>
      </c>
      <c r="E4" s="1952" t="s">
        <v>369</v>
      </c>
      <c r="F4" s="1950" t="s">
        <v>464</v>
      </c>
      <c r="G4" s="1950" t="s">
        <v>463</v>
      </c>
      <c r="H4" s="1950" t="s">
        <v>462</v>
      </c>
      <c r="I4" s="1950" t="s">
        <v>461</v>
      </c>
      <c r="J4" s="1954" t="s">
        <v>313</v>
      </c>
      <c r="K4" s="1586"/>
      <c r="M4" s="814"/>
      <c r="N4" s="814"/>
      <c r="O4" s="814"/>
      <c r="P4" s="814"/>
      <c r="Q4" s="814"/>
      <c r="R4" s="814"/>
      <c r="S4" s="814"/>
      <c r="T4" s="814"/>
      <c r="U4" s="814"/>
      <c r="V4" s="814"/>
    </row>
    <row r="5" spans="1:22">
      <c r="A5" s="1951"/>
      <c r="B5" s="1953"/>
      <c r="C5" s="1953"/>
      <c r="D5" s="1953"/>
      <c r="E5" s="1953"/>
      <c r="F5" s="1951"/>
      <c r="G5" s="1951"/>
      <c r="H5" s="1951"/>
      <c r="I5" s="1951"/>
      <c r="J5" s="1955"/>
      <c r="K5" s="1586"/>
      <c r="M5" s="814"/>
      <c r="N5" s="814"/>
      <c r="O5" s="814"/>
      <c r="P5" s="814"/>
      <c r="Q5" s="814"/>
      <c r="R5" s="814"/>
      <c r="S5" s="814"/>
      <c r="T5" s="814"/>
      <c r="U5" s="814"/>
      <c r="V5" s="814"/>
    </row>
    <row r="6" spans="1:22" ht="15" customHeight="1">
      <c r="A6" s="819">
        <v>41831</v>
      </c>
      <c r="B6" s="819"/>
      <c r="C6" s="819"/>
      <c r="D6" s="819"/>
      <c r="E6" s="819"/>
      <c r="F6" s="218">
        <v>56</v>
      </c>
      <c r="G6" s="218"/>
      <c r="H6" s="218">
        <v>0</v>
      </c>
      <c r="I6" s="817"/>
      <c r="M6" s="814"/>
      <c r="N6" s="814"/>
      <c r="O6" s="814"/>
      <c r="P6" s="814"/>
      <c r="Q6" s="814"/>
      <c r="R6" s="814"/>
      <c r="S6" s="814"/>
      <c r="T6" s="814"/>
      <c r="U6" s="814"/>
      <c r="V6" s="814"/>
    </row>
    <row r="7" spans="1:22" ht="15" customHeight="1">
      <c r="A7" s="819">
        <v>41835</v>
      </c>
      <c r="B7" s="819"/>
      <c r="C7" s="819"/>
      <c r="D7" s="819"/>
      <c r="E7" s="819"/>
      <c r="F7" s="218">
        <v>82</v>
      </c>
      <c r="G7" s="218"/>
      <c r="H7" s="218">
        <v>12</v>
      </c>
      <c r="I7" s="821"/>
      <c r="M7" s="814"/>
      <c r="N7" s="814"/>
      <c r="O7" s="814"/>
      <c r="P7" s="814"/>
      <c r="Q7" s="814"/>
      <c r="R7" s="814"/>
      <c r="S7" s="814"/>
      <c r="T7" s="814"/>
      <c r="U7" s="814"/>
      <c r="V7" s="814"/>
    </row>
    <row r="8" spans="1:22" ht="15" customHeight="1">
      <c r="A8" s="823">
        <v>42194</v>
      </c>
      <c r="B8" s="823"/>
      <c r="C8" s="823"/>
      <c r="D8" s="823"/>
      <c r="E8" s="823"/>
      <c r="F8" s="817">
        <v>0</v>
      </c>
      <c r="G8" s="817"/>
      <c r="H8" s="817">
        <v>0</v>
      </c>
      <c r="I8" s="817"/>
      <c r="M8" s="814"/>
      <c r="N8" s="814"/>
      <c r="O8" s="814"/>
      <c r="P8" s="814"/>
      <c r="Q8" s="814"/>
      <c r="R8" s="814"/>
      <c r="S8" s="814"/>
      <c r="T8" s="814"/>
      <c r="U8" s="814"/>
      <c r="V8" s="814"/>
    </row>
    <row r="9" spans="1:22" ht="15" customHeight="1">
      <c r="A9" s="824">
        <v>42199</v>
      </c>
      <c r="B9" s="824"/>
      <c r="C9" s="824"/>
      <c r="D9" s="824"/>
      <c r="E9" s="824"/>
      <c r="F9" s="820">
        <v>66</v>
      </c>
      <c r="G9" s="820"/>
      <c r="H9" s="820">
        <v>2</v>
      </c>
      <c r="I9" s="820"/>
      <c r="M9" s="814"/>
      <c r="N9" s="814"/>
      <c r="O9" s="814"/>
      <c r="P9" s="814"/>
      <c r="Q9" s="814"/>
      <c r="R9" s="814"/>
      <c r="S9" s="814"/>
      <c r="T9" s="814"/>
      <c r="U9" s="814"/>
      <c r="V9" s="814"/>
    </row>
    <row r="10" spans="1:22" ht="15" customHeight="1">
      <c r="A10" s="826">
        <v>42205</v>
      </c>
      <c r="B10" s="826"/>
      <c r="C10" s="826"/>
      <c r="D10" s="826"/>
      <c r="E10" s="826"/>
      <c r="F10" s="821" t="s">
        <v>0</v>
      </c>
      <c r="G10" s="821"/>
      <c r="H10" s="821">
        <v>74</v>
      </c>
      <c r="I10" s="822">
        <v>43666</v>
      </c>
      <c r="M10" s="814"/>
      <c r="N10" s="814"/>
      <c r="O10" s="814"/>
      <c r="P10" s="814"/>
      <c r="Q10" s="814"/>
      <c r="R10" s="814"/>
      <c r="S10" s="814"/>
      <c r="T10" s="814"/>
      <c r="U10" s="814"/>
      <c r="V10" s="814"/>
    </row>
    <row r="11" spans="1:22" ht="15" customHeight="1">
      <c r="A11" s="823">
        <v>42556</v>
      </c>
      <c r="B11" s="823"/>
      <c r="C11" s="823"/>
      <c r="D11" s="823"/>
      <c r="E11" s="823"/>
      <c r="F11" s="816">
        <f>20/47*100</f>
        <v>42.553191489361701</v>
      </c>
      <c r="G11" s="816"/>
      <c r="H11" s="816">
        <v>0</v>
      </c>
      <c r="M11" s="814"/>
      <c r="N11" s="814"/>
      <c r="O11" s="814"/>
      <c r="P11" s="814"/>
      <c r="Q11" s="814"/>
      <c r="R11" s="814"/>
      <c r="S11" s="814"/>
      <c r="T11" s="814"/>
      <c r="U11" s="814"/>
      <c r="V11" s="814"/>
    </row>
    <row r="12" spans="1:22" ht="15" customHeight="1">
      <c r="A12" s="824">
        <v>42558</v>
      </c>
      <c r="B12" s="824"/>
      <c r="C12" s="824"/>
      <c r="D12" s="824"/>
      <c r="E12" s="824"/>
      <c r="F12" s="829">
        <f>8/13*100</f>
        <v>61.53846153846154</v>
      </c>
      <c r="G12" s="829"/>
      <c r="H12" s="829">
        <v>0</v>
      </c>
      <c r="M12" s="814"/>
      <c r="N12" s="814"/>
      <c r="O12" s="814"/>
      <c r="P12" s="814"/>
      <c r="Q12" s="814"/>
      <c r="R12" s="814"/>
      <c r="S12" s="814"/>
      <c r="T12" s="814"/>
      <c r="U12" s="814"/>
      <c r="V12" s="814"/>
    </row>
    <row r="13" spans="1:22" ht="15" customHeight="1">
      <c r="A13" s="824">
        <v>42562</v>
      </c>
      <c r="B13" s="824"/>
      <c r="C13" s="824"/>
      <c r="D13" s="824"/>
      <c r="E13" s="824"/>
      <c r="F13" s="829">
        <f>39/50*100</f>
        <v>78</v>
      </c>
      <c r="G13" s="829"/>
      <c r="H13" s="829">
        <f>6/39*100</f>
        <v>15.384615384615385</v>
      </c>
      <c r="M13" s="814"/>
      <c r="N13" s="814"/>
      <c r="O13" s="814"/>
      <c r="P13" s="814"/>
      <c r="Q13" s="814"/>
      <c r="R13" s="814"/>
      <c r="S13" s="814"/>
      <c r="T13" s="814"/>
      <c r="U13" s="814"/>
      <c r="V13" s="814"/>
    </row>
    <row r="14" spans="1:22" ht="15" customHeight="1">
      <c r="A14" s="824">
        <v>42564</v>
      </c>
      <c r="B14" s="824"/>
      <c r="C14" s="824"/>
      <c r="D14" s="824"/>
      <c r="E14" s="824"/>
      <c r="F14" s="829">
        <v>88</v>
      </c>
      <c r="G14" s="829"/>
      <c r="H14" s="829">
        <v>27.3</v>
      </c>
      <c r="M14" s="814"/>
      <c r="N14" s="814"/>
      <c r="O14" s="814"/>
      <c r="P14" s="814"/>
      <c r="Q14" s="814"/>
      <c r="R14" s="814"/>
      <c r="S14" s="814"/>
      <c r="T14" s="814"/>
      <c r="U14" s="814"/>
      <c r="V14" s="814"/>
    </row>
    <row r="15" spans="1:22" ht="15" customHeight="1">
      <c r="A15" s="826">
        <v>42566</v>
      </c>
      <c r="B15" s="826"/>
      <c r="C15" s="826"/>
      <c r="D15" s="826"/>
      <c r="E15" s="826"/>
      <c r="F15" s="821">
        <v>98.7</v>
      </c>
      <c r="G15" s="821"/>
      <c r="H15" s="821">
        <v>66.2</v>
      </c>
      <c r="I15" s="822">
        <v>43660</v>
      </c>
      <c r="M15" s="814"/>
      <c r="N15" s="814"/>
      <c r="O15" s="814"/>
      <c r="P15" s="814"/>
      <c r="Q15" s="814"/>
      <c r="R15" s="814"/>
      <c r="S15" s="814"/>
      <c r="T15" s="814"/>
      <c r="U15" s="814"/>
      <c r="V15" s="814"/>
    </row>
    <row r="16" spans="1:22" ht="15" customHeight="1">
      <c r="A16" s="824">
        <v>42921</v>
      </c>
      <c r="B16" s="824"/>
      <c r="C16" s="824"/>
      <c r="D16" s="824"/>
      <c r="E16" s="824"/>
      <c r="F16" s="814">
        <v>0</v>
      </c>
      <c r="H16" s="814">
        <v>0</v>
      </c>
      <c r="M16" s="814"/>
      <c r="N16" s="814"/>
      <c r="O16" s="814"/>
      <c r="P16" s="814"/>
      <c r="Q16" s="814"/>
      <c r="R16" s="814"/>
      <c r="S16" s="814"/>
      <c r="T16" s="814"/>
      <c r="U16" s="814"/>
      <c r="V16" s="814"/>
    </row>
    <row r="17" spans="1:22" ht="15" customHeight="1">
      <c r="A17" s="824">
        <v>42928</v>
      </c>
      <c r="B17" s="824"/>
      <c r="C17" s="824"/>
      <c r="D17" s="824"/>
      <c r="E17" s="824"/>
      <c r="F17" s="814">
        <v>0</v>
      </c>
      <c r="H17" s="814">
        <v>0</v>
      </c>
      <c r="M17" s="814"/>
      <c r="N17" s="814"/>
      <c r="O17" s="814"/>
      <c r="P17" s="814"/>
      <c r="Q17" s="814"/>
      <c r="R17" s="814"/>
      <c r="S17" s="814"/>
      <c r="T17" s="814"/>
      <c r="U17" s="814"/>
      <c r="V17" s="814"/>
    </row>
    <row r="18" spans="1:22" ht="15" customHeight="1">
      <c r="A18" s="824">
        <v>42930</v>
      </c>
      <c r="B18" s="824"/>
      <c r="C18" s="824"/>
      <c r="D18" s="824"/>
      <c r="E18" s="824"/>
      <c r="F18" s="832">
        <f>33/160*100</f>
        <v>20.625</v>
      </c>
      <c r="G18" s="832"/>
      <c r="H18" s="832">
        <v>0</v>
      </c>
      <c r="M18" s="814"/>
      <c r="N18" s="814"/>
      <c r="O18" s="814"/>
      <c r="P18" s="814"/>
      <c r="Q18" s="814"/>
      <c r="R18" s="814"/>
      <c r="S18" s="814"/>
      <c r="T18" s="814"/>
      <c r="U18" s="814"/>
      <c r="V18" s="814"/>
    </row>
    <row r="19" spans="1:22" ht="15" customHeight="1">
      <c r="A19" s="824">
        <v>42934</v>
      </c>
      <c r="B19" s="824"/>
      <c r="C19" s="824"/>
      <c r="D19" s="824"/>
      <c r="E19" s="824"/>
      <c r="F19" s="832">
        <f>27/41*100</f>
        <v>65.853658536585371</v>
      </c>
      <c r="G19" s="832"/>
      <c r="H19" s="832">
        <v>0</v>
      </c>
      <c r="M19" s="814"/>
      <c r="N19" s="814"/>
      <c r="O19" s="814"/>
      <c r="P19" s="814"/>
      <c r="Q19" s="814"/>
      <c r="R19" s="814"/>
      <c r="S19" s="814"/>
      <c r="T19" s="814"/>
      <c r="U19" s="814"/>
      <c r="V19" s="814"/>
    </row>
    <row r="20" spans="1:22" ht="15" customHeight="1">
      <c r="A20" s="826">
        <v>42935</v>
      </c>
      <c r="B20" s="826"/>
      <c r="C20" s="826"/>
      <c r="D20" s="826"/>
      <c r="E20" s="826"/>
      <c r="F20" s="833">
        <f>27/34*100</f>
        <v>79.411764705882348</v>
      </c>
      <c r="G20" s="833"/>
      <c r="H20" s="833">
        <f>9/27*100</f>
        <v>33.333333333333329</v>
      </c>
      <c r="I20" s="821"/>
      <c r="M20" s="814"/>
      <c r="N20" s="814"/>
      <c r="O20" s="814"/>
      <c r="P20" s="814"/>
      <c r="Q20" s="814"/>
      <c r="R20" s="814"/>
      <c r="S20" s="814"/>
      <c r="T20" s="814"/>
      <c r="U20" s="814"/>
      <c r="V20" s="814"/>
    </row>
    <row r="21" spans="1:22" ht="15" customHeight="1">
      <c r="A21" s="850">
        <v>43286</v>
      </c>
      <c r="B21" s="850"/>
      <c r="C21" s="850"/>
      <c r="D21" s="850"/>
      <c r="E21" s="850"/>
      <c r="F21" s="851">
        <f>52/83*100</f>
        <v>62.650602409638559</v>
      </c>
      <c r="G21" s="851"/>
      <c r="H21" s="814">
        <v>0</v>
      </c>
      <c r="M21" s="814"/>
      <c r="N21" s="814"/>
      <c r="O21" s="814"/>
      <c r="P21" s="814"/>
      <c r="Q21" s="814"/>
      <c r="R21" s="814"/>
      <c r="S21" s="814"/>
      <c r="T21" s="814"/>
      <c r="U21" s="814"/>
      <c r="V21" s="814"/>
    </row>
    <row r="22" spans="1:22" ht="15" customHeight="1">
      <c r="A22" s="850">
        <v>43290</v>
      </c>
      <c r="B22" s="850"/>
      <c r="C22" s="850"/>
      <c r="D22" s="850"/>
      <c r="E22" s="850"/>
      <c r="F22" s="851">
        <f>84/113*100</f>
        <v>74.336283185840713</v>
      </c>
      <c r="G22" s="851"/>
      <c r="H22" s="814">
        <v>0</v>
      </c>
      <c r="M22" s="814"/>
      <c r="N22" s="814"/>
      <c r="O22" s="814"/>
      <c r="P22" s="814"/>
      <c r="Q22" s="814"/>
      <c r="R22" s="814"/>
      <c r="S22" s="814"/>
      <c r="T22" s="814"/>
      <c r="U22" s="814"/>
      <c r="V22" s="814"/>
    </row>
    <row r="23" spans="1:22" ht="15" customHeight="1">
      <c r="A23" s="850">
        <v>43291</v>
      </c>
      <c r="B23" s="850"/>
      <c r="C23" s="850"/>
      <c r="D23" s="850"/>
      <c r="E23" s="850"/>
      <c r="F23" s="851">
        <f>101/111*100</f>
        <v>90.990990990990994</v>
      </c>
      <c r="G23" s="851"/>
      <c r="H23" s="851">
        <f>20/101*100</f>
        <v>19.801980198019802</v>
      </c>
      <c r="M23" s="814"/>
      <c r="N23" s="814"/>
      <c r="O23" s="814"/>
      <c r="P23" s="814"/>
      <c r="Q23" s="814"/>
      <c r="R23" s="814"/>
      <c r="S23" s="814"/>
      <c r="T23" s="814"/>
      <c r="U23" s="814"/>
      <c r="V23" s="814"/>
    </row>
    <row r="24" spans="1:22" ht="15" customHeight="1">
      <c r="A24" s="850">
        <v>43292</v>
      </c>
      <c r="B24" s="850"/>
      <c r="C24" s="850"/>
      <c r="D24" s="850"/>
      <c r="E24" s="850"/>
      <c r="F24" s="851">
        <f>105/114*100</f>
        <v>92.10526315789474</v>
      </c>
      <c r="G24" s="851"/>
      <c r="H24" s="814">
        <f>21/105*100</f>
        <v>20</v>
      </c>
      <c r="M24" s="814"/>
      <c r="N24" s="814"/>
      <c r="O24" s="814"/>
      <c r="P24" s="814"/>
      <c r="Q24" s="814"/>
      <c r="R24" s="814"/>
      <c r="S24" s="814"/>
      <c r="T24" s="814"/>
      <c r="U24" s="814"/>
      <c r="V24" s="814"/>
    </row>
    <row r="25" spans="1:22" ht="15" customHeight="1">
      <c r="A25" s="850">
        <v>43293</v>
      </c>
      <c r="B25" s="850"/>
      <c r="C25" s="850"/>
      <c r="D25" s="850"/>
      <c r="E25" s="850"/>
      <c r="F25" s="814">
        <v>96</v>
      </c>
      <c r="H25" s="814">
        <v>24.4</v>
      </c>
      <c r="M25" s="814"/>
      <c r="N25" s="814"/>
      <c r="O25" s="814"/>
      <c r="P25" s="814"/>
      <c r="Q25" s="814"/>
      <c r="R25" s="814"/>
      <c r="S25" s="814"/>
      <c r="T25" s="814"/>
      <c r="U25" s="814"/>
      <c r="V25" s="814"/>
    </row>
    <row r="26" spans="1:22" ht="15" customHeight="1">
      <c r="A26" s="839">
        <v>43294</v>
      </c>
      <c r="B26" s="839"/>
      <c r="C26" s="839"/>
      <c r="D26" s="839"/>
      <c r="E26" s="839"/>
      <c r="F26" s="820">
        <v>96.3</v>
      </c>
      <c r="G26" s="820"/>
      <c r="H26" s="820">
        <v>87.3</v>
      </c>
      <c r="I26" s="825">
        <v>43659</v>
      </c>
      <c r="M26" s="814"/>
      <c r="N26" s="814"/>
      <c r="O26" s="814"/>
      <c r="P26" s="814"/>
      <c r="Q26" s="814"/>
      <c r="R26" s="814"/>
      <c r="S26" s="814"/>
      <c r="T26" s="814"/>
      <c r="U26" s="814"/>
      <c r="V26" s="814"/>
    </row>
    <row r="27" spans="1:22" ht="15" customHeight="1">
      <c r="A27" s="840">
        <v>43298</v>
      </c>
      <c r="B27" s="840"/>
      <c r="C27" s="840"/>
      <c r="D27" s="840"/>
      <c r="E27" s="840"/>
      <c r="F27" s="821">
        <v>100</v>
      </c>
      <c r="G27" s="821"/>
      <c r="H27" s="821">
        <v>98.2</v>
      </c>
      <c r="I27" s="821"/>
      <c r="M27" s="814"/>
      <c r="N27" s="814"/>
      <c r="O27" s="814"/>
      <c r="P27" s="814"/>
      <c r="Q27" s="814"/>
      <c r="R27" s="814"/>
      <c r="S27" s="814"/>
      <c r="T27" s="814"/>
      <c r="U27" s="814"/>
      <c r="V27" s="814"/>
    </row>
    <row r="28" spans="1:22" ht="15" customHeight="1">
      <c r="A28" s="850">
        <v>43656</v>
      </c>
      <c r="B28" s="850"/>
      <c r="C28" s="850"/>
      <c r="D28" s="850"/>
      <c r="E28" s="850"/>
      <c r="F28" s="814">
        <v>58.75</v>
      </c>
      <c r="H28" s="814">
        <v>0</v>
      </c>
      <c r="I28" s="910"/>
      <c r="M28" s="814"/>
      <c r="N28" s="814"/>
      <c r="O28" s="814"/>
      <c r="P28" s="814"/>
      <c r="Q28" s="814"/>
      <c r="R28" s="814"/>
      <c r="S28" s="814"/>
      <c r="T28" s="814"/>
      <c r="U28" s="814"/>
      <c r="V28" s="814"/>
    </row>
    <row r="29" spans="1:22" ht="15" customHeight="1">
      <c r="A29" s="850">
        <v>43658</v>
      </c>
      <c r="B29" s="850"/>
      <c r="C29" s="850"/>
      <c r="D29" s="850"/>
      <c r="E29" s="850"/>
      <c r="F29" s="814">
        <v>54.73</v>
      </c>
      <c r="H29" s="814">
        <v>0</v>
      </c>
      <c r="M29" s="814"/>
      <c r="N29" s="814"/>
      <c r="O29" s="814"/>
      <c r="P29" s="814"/>
      <c r="Q29" s="814"/>
      <c r="R29" s="814"/>
      <c r="S29" s="814"/>
      <c r="T29" s="814"/>
      <c r="U29" s="814"/>
      <c r="V29" s="814"/>
    </row>
    <row r="30" spans="1:22" ht="15" customHeight="1">
      <c r="A30" s="850">
        <v>43662</v>
      </c>
      <c r="B30" s="850"/>
      <c r="C30" s="850"/>
      <c r="D30" s="850"/>
      <c r="E30" s="850"/>
      <c r="F30" s="814">
        <v>91.49</v>
      </c>
      <c r="H30" s="814">
        <v>0</v>
      </c>
      <c r="M30" s="814"/>
      <c r="N30" s="814"/>
      <c r="O30" s="814"/>
      <c r="P30" s="814"/>
      <c r="Q30" s="814"/>
      <c r="R30" s="814"/>
      <c r="S30" s="814"/>
      <c r="T30" s="814"/>
      <c r="U30" s="814"/>
      <c r="V30" s="814"/>
    </row>
    <row r="31" spans="1:22" ht="15" customHeight="1">
      <c r="A31" s="850">
        <v>43663</v>
      </c>
      <c r="B31" s="850"/>
      <c r="C31" s="850"/>
      <c r="D31" s="850"/>
      <c r="E31" s="850"/>
      <c r="F31" s="814">
        <v>90.53</v>
      </c>
      <c r="H31" s="814">
        <v>30.2</v>
      </c>
      <c r="M31" s="814"/>
      <c r="N31" s="814"/>
      <c r="O31" s="814"/>
      <c r="P31" s="814"/>
      <c r="Q31" s="814"/>
      <c r="R31" s="814"/>
      <c r="S31" s="814"/>
      <c r="T31" s="814"/>
      <c r="U31" s="814"/>
      <c r="V31" s="814"/>
    </row>
    <row r="32" spans="1:22" ht="15" customHeight="1">
      <c r="A32" s="840">
        <v>43664</v>
      </c>
      <c r="B32" s="840"/>
      <c r="C32" s="840"/>
      <c r="D32" s="840"/>
      <c r="E32" s="840"/>
      <c r="F32" s="821">
        <v>81.58</v>
      </c>
      <c r="G32" s="821"/>
      <c r="H32" s="821">
        <v>62.1</v>
      </c>
      <c r="I32" s="822">
        <v>43664</v>
      </c>
      <c r="M32" s="814"/>
      <c r="N32" s="814"/>
      <c r="O32" s="814"/>
      <c r="P32" s="814"/>
      <c r="Q32" s="814"/>
      <c r="R32" s="814"/>
      <c r="S32" s="814"/>
      <c r="T32" s="814"/>
      <c r="U32" s="814"/>
      <c r="V32" s="814"/>
    </row>
    <row r="33" spans="1:22" ht="15" customHeight="1">
      <c r="A33" s="850">
        <v>44019</v>
      </c>
      <c r="B33" s="850"/>
      <c r="C33" s="850"/>
      <c r="D33" s="850"/>
      <c r="E33" s="850"/>
      <c r="F33" s="814">
        <v>55.6</v>
      </c>
      <c r="H33" s="814">
        <v>0</v>
      </c>
      <c r="M33" s="814"/>
      <c r="N33" s="814"/>
      <c r="O33" s="814"/>
      <c r="P33" s="814"/>
      <c r="Q33" s="814"/>
      <c r="R33" s="814"/>
      <c r="S33" s="814"/>
      <c r="T33" s="814"/>
      <c r="U33" s="814"/>
      <c r="V33" s="814"/>
    </row>
    <row r="34" spans="1:22" ht="15" customHeight="1">
      <c r="A34" s="850">
        <v>44022</v>
      </c>
      <c r="B34" s="850"/>
      <c r="C34" s="850"/>
      <c r="D34" s="850"/>
      <c r="E34" s="850"/>
      <c r="F34" s="814">
        <v>66</v>
      </c>
      <c r="H34" s="814">
        <v>0</v>
      </c>
      <c r="M34" s="814"/>
      <c r="N34" s="814"/>
      <c r="O34" s="814"/>
      <c r="P34" s="814"/>
      <c r="Q34" s="814"/>
      <c r="R34" s="814"/>
      <c r="S34" s="814"/>
      <c r="T34" s="814"/>
      <c r="U34" s="814"/>
      <c r="V34" s="814"/>
    </row>
    <row r="35" spans="1:22" ht="15" customHeight="1">
      <c r="A35" s="850">
        <v>44024</v>
      </c>
      <c r="B35" s="850"/>
      <c r="C35" s="850"/>
      <c r="D35" s="850"/>
      <c r="E35" s="850"/>
      <c r="F35" s="814">
        <v>72.7</v>
      </c>
      <c r="H35" s="814">
        <v>0</v>
      </c>
      <c r="M35" s="814"/>
      <c r="N35" s="814"/>
      <c r="O35" s="814"/>
      <c r="P35" s="814"/>
      <c r="Q35" s="814"/>
      <c r="R35" s="814"/>
      <c r="S35" s="814"/>
      <c r="T35" s="814"/>
      <c r="U35" s="814"/>
      <c r="V35" s="814"/>
    </row>
    <row r="36" spans="1:22" ht="15" customHeight="1">
      <c r="A36" s="850">
        <v>44025</v>
      </c>
      <c r="B36" s="850"/>
      <c r="C36" s="850"/>
      <c r="D36" s="850"/>
      <c r="E36" s="850"/>
      <c r="F36" s="814">
        <v>87.9</v>
      </c>
      <c r="H36" s="814">
        <v>3.9</v>
      </c>
      <c r="M36" s="814"/>
      <c r="N36" s="814"/>
      <c r="O36" s="814"/>
      <c r="P36" s="814"/>
      <c r="Q36" s="814"/>
      <c r="R36" s="814"/>
      <c r="S36" s="814"/>
      <c r="T36" s="814"/>
      <c r="U36" s="814"/>
      <c r="V36" s="814"/>
    </row>
    <row r="37" spans="1:22" ht="15" customHeight="1">
      <c r="A37" s="850">
        <v>44026</v>
      </c>
      <c r="B37" s="850"/>
      <c r="C37" s="850"/>
      <c r="D37" s="850"/>
      <c r="E37" s="850"/>
      <c r="F37" s="814">
        <v>93.3</v>
      </c>
      <c r="H37" s="814">
        <v>13.4</v>
      </c>
      <c r="M37" s="814"/>
      <c r="N37" s="814"/>
      <c r="O37" s="814"/>
      <c r="P37" s="814"/>
      <c r="Q37" s="814"/>
      <c r="R37" s="814"/>
      <c r="S37" s="814"/>
      <c r="T37" s="814"/>
      <c r="U37" s="814"/>
      <c r="V37" s="814"/>
    </row>
    <row r="38" spans="1:22" ht="15" customHeight="1">
      <c r="A38" s="850">
        <v>44027</v>
      </c>
      <c r="B38" s="850"/>
      <c r="C38" s="850"/>
      <c r="D38" s="850"/>
      <c r="E38" s="850"/>
      <c r="F38" s="814">
        <v>95.5</v>
      </c>
      <c r="H38" s="814">
        <v>15</v>
      </c>
      <c r="M38" s="814"/>
      <c r="N38" s="814"/>
      <c r="O38" s="814"/>
      <c r="P38" s="814"/>
      <c r="Q38" s="814"/>
      <c r="R38" s="814"/>
      <c r="S38" s="814"/>
      <c r="T38" s="814"/>
      <c r="U38" s="814"/>
      <c r="V38" s="814"/>
    </row>
    <row r="39" spans="1:22" ht="15" customHeight="1">
      <c r="A39" s="850">
        <v>44028</v>
      </c>
      <c r="B39" s="850"/>
      <c r="C39" s="850"/>
      <c r="D39" s="850"/>
      <c r="E39" s="850"/>
      <c r="F39" s="814">
        <v>94.8</v>
      </c>
      <c r="H39" s="814">
        <v>40.9</v>
      </c>
      <c r="M39" s="814"/>
      <c r="N39" s="814"/>
      <c r="O39" s="814"/>
      <c r="P39" s="814"/>
      <c r="Q39" s="814"/>
      <c r="R39" s="814"/>
      <c r="S39" s="814"/>
      <c r="T39" s="814"/>
      <c r="U39" s="814"/>
      <c r="V39" s="814"/>
    </row>
    <row r="40" spans="1:22" ht="15" customHeight="1">
      <c r="A40" s="840">
        <v>44029</v>
      </c>
      <c r="B40" s="840"/>
      <c r="C40" s="840"/>
      <c r="D40" s="840"/>
      <c r="E40" s="840"/>
      <c r="F40" s="821">
        <v>99.2</v>
      </c>
      <c r="G40" s="821"/>
      <c r="H40" s="821">
        <v>61.3</v>
      </c>
      <c r="I40" s="822">
        <v>43663</v>
      </c>
      <c r="J40" s="814">
        <v>579.22739999999999</v>
      </c>
      <c r="M40" s="814"/>
      <c r="N40" s="814"/>
      <c r="O40" s="814"/>
      <c r="P40" s="814"/>
      <c r="Q40" s="814"/>
      <c r="R40" s="814"/>
      <c r="S40" s="814"/>
      <c r="T40" s="814"/>
      <c r="U40" s="814"/>
      <c r="V40" s="814"/>
    </row>
    <row r="41" spans="1:22" ht="15" customHeight="1">
      <c r="A41" s="850">
        <v>44382</v>
      </c>
      <c r="B41" s="1160">
        <v>105</v>
      </c>
      <c r="C41" s="1160">
        <v>6</v>
      </c>
      <c r="D41" s="1160">
        <v>0</v>
      </c>
      <c r="E41" s="1160">
        <v>0</v>
      </c>
      <c r="F41" s="814">
        <f>ROUND(C41/B41*100,1)</f>
        <v>5.7</v>
      </c>
      <c r="G41" s="814">
        <f>ROUND(D41/B41*100,1)</f>
        <v>0</v>
      </c>
      <c r="H41" s="814">
        <f>ROUND(E41/C41*100,1)</f>
        <v>0</v>
      </c>
      <c r="J41" s="814">
        <v>624.11210000000005</v>
      </c>
      <c r="M41" s="814"/>
      <c r="N41" s="814"/>
      <c r="O41" s="814"/>
      <c r="P41" s="814"/>
      <c r="Q41" s="814"/>
      <c r="R41" s="814"/>
      <c r="S41" s="814"/>
      <c r="T41" s="814"/>
      <c r="U41" s="814"/>
      <c r="V41" s="814"/>
    </row>
    <row r="42" spans="1:22" ht="15" customHeight="1">
      <c r="A42" s="850">
        <v>44385</v>
      </c>
      <c r="B42" s="1160">
        <v>100</v>
      </c>
      <c r="C42" s="1160">
        <v>38</v>
      </c>
      <c r="D42" s="1160">
        <v>0</v>
      </c>
      <c r="E42" s="1160">
        <v>0</v>
      </c>
      <c r="F42" s="814">
        <f t="shared" ref="F42:F74" si="0">ROUND(C42/B42*100,1)</f>
        <v>38</v>
      </c>
      <c r="G42" s="814">
        <f t="shared" ref="G42:G46" si="1">ROUND(D42/B42*100,1)</f>
        <v>0</v>
      </c>
      <c r="H42" s="814">
        <f t="shared" ref="H42:H74" si="2">ROUND(E42/B42*100,1)</f>
        <v>0</v>
      </c>
      <c r="J42" s="814">
        <v>672.9751</v>
      </c>
      <c r="M42" s="814"/>
      <c r="N42" s="814"/>
      <c r="O42" s="814"/>
      <c r="P42" s="814"/>
      <c r="Q42" s="814"/>
      <c r="R42" s="814"/>
      <c r="S42" s="814"/>
      <c r="T42" s="814"/>
      <c r="U42" s="814"/>
      <c r="V42" s="814"/>
    </row>
    <row r="43" spans="1:22" ht="15" customHeight="1">
      <c r="A43" s="850">
        <v>44388</v>
      </c>
      <c r="B43" s="1160">
        <v>123</v>
      </c>
      <c r="C43" s="1160">
        <v>101</v>
      </c>
      <c r="D43" s="1160">
        <v>0</v>
      </c>
      <c r="E43" s="1160">
        <v>0</v>
      </c>
      <c r="F43" s="814">
        <f t="shared" si="0"/>
        <v>82.1</v>
      </c>
      <c r="G43" s="814">
        <f t="shared" si="1"/>
        <v>0</v>
      </c>
      <c r="H43" s="814">
        <f t="shared" si="2"/>
        <v>0</v>
      </c>
      <c r="J43" s="814">
        <v>687.27250000000004</v>
      </c>
      <c r="M43" s="814"/>
      <c r="N43" s="814"/>
      <c r="O43" s="814"/>
      <c r="P43" s="814"/>
      <c r="Q43" s="814"/>
      <c r="R43" s="814"/>
      <c r="S43" s="814"/>
      <c r="T43" s="814"/>
      <c r="U43" s="814"/>
      <c r="V43" s="814"/>
    </row>
    <row r="44" spans="1:22" ht="15" customHeight="1">
      <c r="A44" s="850">
        <v>44389</v>
      </c>
      <c r="B44" s="1160">
        <v>150</v>
      </c>
      <c r="C44" s="1160">
        <v>126</v>
      </c>
      <c r="D44" s="1160">
        <v>16</v>
      </c>
      <c r="E44" s="1160">
        <v>5</v>
      </c>
      <c r="F44" s="814">
        <f>ROUND(C44/B44*100,1)</f>
        <v>84</v>
      </c>
      <c r="G44" s="814">
        <f t="shared" si="1"/>
        <v>10.7</v>
      </c>
      <c r="H44" s="814">
        <f t="shared" si="2"/>
        <v>3.3</v>
      </c>
      <c r="J44" s="814">
        <v>702.8972</v>
      </c>
      <c r="M44" s="814"/>
      <c r="N44" s="814"/>
      <c r="O44" s="814"/>
      <c r="P44" s="814"/>
      <c r="Q44" s="814"/>
      <c r="R44" s="814"/>
      <c r="S44" s="814"/>
      <c r="T44" s="814"/>
      <c r="U44" s="814"/>
      <c r="V44" s="814"/>
    </row>
    <row r="45" spans="1:22" ht="15" customHeight="1">
      <c r="A45" s="850">
        <v>44390</v>
      </c>
      <c r="B45" s="1160">
        <v>104</v>
      </c>
      <c r="C45" s="1160">
        <v>99</v>
      </c>
      <c r="D45" s="1160">
        <v>23</v>
      </c>
      <c r="E45" s="1160">
        <v>7</v>
      </c>
      <c r="F45" s="814">
        <f>ROUND(C45/B45*100,1)</f>
        <v>95.2</v>
      </c>
      <c r="G45" s="814">
        <f t="shared" si="1"/>
        <v>22.1</v>
      </c>
      <c r="H45" s="814">
        <f t="shared" si="2"/>
        <v>6.7</v>
      </c>
      <c r="J45" s="814">
        <v>717.89229999999998</v>
      </c>
      <c r="M45" s="814"/>
      <c r="N45" s="814"/>
      <c r="O45" s="814"/>
      <c r="P45" s="814"/>
      <c r="Q45" s="814"/>
      <c r="R45" s="814"/>
      <c r="S45" s="814"/>
      <c r="T45" s="814"/>
      <c r="U45" s="814"/>
      <c r="V45" s="814"/>
    </row>
    <row r="46" spans="1:22" ht="15" customHeight="1">
      <c r="A46" s="850">
        <v>44391</v>
      </c>
      <c r="B46" s="1160">
        <v>124</v>
      </c>
      <c r="C46" s="1160">
        <v>118</v>
      </c>
      <c r="D46" s="1160">
        <v>58</v>
      </c>
      <c r="E46" s="1160">
        <v>32</v>
      </c>
      <c r="F46" s="814">
        <f>ROUND(C46/B46*100,1)</f>
        <v>95.2</v>
      </c>
      <c r="G46" s="814">
        <f t="shared" si="1"/>
        <v>46.8</v>
      </c>
      <c r="H46" s="814">
        <f t="shared" si="2"/>
        <v>25.8</v>
      </c>
      <c r="J46" s="1174">
        <v>732.00850000000003</v>
      </c>
      <c r="K46" s="1174"/>
      <c r="M46" s="814"/>
      <c r="N46" s="814"/>
      <c r="O46" s="814"/>
      <c r="P46" s="814"/>
      <c r="Q46" s="814"/>
      <c r="R46" s="814"/>
      <c r="S46" s="814"/>
      <c r="T46" s="814"/>
      <c r="U46" s="814"/>
      <c r="V46" s="814"/>
    </row>
    <row r="47" spans="1:22" ht="15" customHeight="1">
      <c r="A47" s="850">
        <v>44392</v>
      </c>
      <c r="B47" s="1160">
        <v>111</v>
      </c>
      <c r="C47" s="1160">
        <v>109</v>
      </c>
      <c r="D47" s="1160">
        <v>67</v>
      </c>
      <c r="E47" s="1160">
        <v>49</v>
      </c>
      <c r="F47" s="814">
        <f t="shared" si="0"/>
        <v>98.2</v>
      </c>
      <c r="G47" s="814">
        <f>ROUND(D47/B47*100,1)</f>
        <v>60.4</v>
      </c>
      <c r="H47" s="814">
        <f t="shared" si="2"/>
        <v>44.1</v>
      </c>
      <c r="J47" s="1174">
        <v>746.11220000000003</v>
      </c>
      <c r="K47" s="1174"/>
      <c r="M47" s="814"/>
      <c r="N47" s="814"/>
      <c r="O47" s="814"/>
      <c r="P47" s="814"/>
      <c r="Q47" s="814"/>
      <c r="R47" s="814"/>
      <c r="S47" s="814"/>
      <c r="T47" s="814"/>
      <c r="U47" s="814"/>
      <c r="V47" s="814"/>
    </row>
    <row r="48" spans="1:22" ht="15" customHeight="1">
      <c r="A48" s="840">
        <v>44393</v>
      </c>
      <c r="B48" s="1159">
        <v>108</v>
      </c>
      <c r="C48" s="1159">
        <v>106</v>
      </c>
      <c r="D48" s="1159">
        <v>80</v>
      </c>
      <c r="E48" s="1159">
        <v>64</v>
      </c>
      <c r="F48" s="821">
        <f t="shared" si="0"/>
        <v>98.1</v>
      </c>
      <c r="G48" s="821">
        <f t="shared" ref="G48:G74" si="3">ROUND(D48/B48*100,1)</f>
        <v>74.099999999999994</v>
      </c>
      <c r="H48" s="821">
        <f t="shared" si="2"/>
        <v>59.3</v>
      </c>
      <c r="I48" s="822">
        <v>43662</v>
      </c>
      <c r="J48" s="911" t="s">
        <v>372</v>
      </c>
      <c r="K48" s="911"/>
      <c r="M48" s="814"/>
      <c r="N48" s="814"/>
      <c r="O48" s="814"/>
      <c r="P48" s="814"/>
      <c r="Q48" s="814"/>
      <c r="R48" s="814"/>
      <c r="S48" s="814"/>
      <c r="T48" s="814"/>
      <c r="U48" s="814"/>
      <c r="V48" s="814"/>
    </row>
    <row r="49" spans="1:22" ht="15" customHeight="1">
      <c r="A49" s="850">
        <v>44746</v>
      </c>
      <c r="B49" s="814">
        <v>100</v>
      </c>
      <c r="C49" s="814">
        <v>0</v>
      </c>
      <c r="D49" s="814">
        <v>0</v>
      </c>
      <c r="E49" s="814">
        <v>0</v>
      </c>
      <c r="F49" s="814">
        <f t="shared" si="0"/>
        <v>0</v>
      </c>
      <c r="G49" s="814">
        <f t="shared" si="3"/>
        <v>0</v>
      </c>
      <c r="H49" s="814">
        <f t="shared" si="2"/>
        <v>0</v>
      </c>
      <c r="J49" s="911" t="s">
        <v>472</v>
      </c>
      <c r="K49" s="911"/>
      <c r="M49" s="814"/>
      <c r="N49" s="814"/>
      <c r="O49" s="814"/>
      <c r="P49" s="814"/>
      <c r="Q49" s="814"/>
      <c r="R49" s="814"/>
      <c r="S49" s="814"/>
      <c r="T49" s="814"/>
      <c r="U49" s="814"/>
      <c r="V49" s="814"/>
    </row>
    <row r="50" spans="1:22" ht="15" customHeight="1">
      <c r="A50" s="850">
        <v>44748</v>
      </c>
      <c r="B50" s="814">
        <v>175</v>
      </c>
      <c r="C50" s="814">
        <v>2</v>
      </c>
      <c r="D50" s="814">
        <v>0</v>
      </c>
      <c r="E50" s="814">
        <v>0</v>
      </c>
      <c r="F50" s="814">
        <f t="shared" si="0"/>
        <v>1.1000000000000001</v>
      </c>
      <c r="G50" s="814">
        <f t="shared" si="3"/>
        <v>0</v>
      </c>
      <c r="H50" s="814">
        <f t="shared" si="2"/>
        <v>0</v>
      </c>
      <c r="J50" s="814" t="s">
        <v>473</v>
      </c>
      <c r="M50" s="814"/>
      <c r="N50" s="814"/>
      <c r="O50" s="814"/>
      <c r="P50" s="814"/>
      <c r="Q50" s="814"/>
      <c r="R50" s="814"/>
      <c r="S50" s="814"/>
      <c r="T50" s="814"/>
      <c r="U50" s="814"/>
      <c r="V50" s="814"/>
    </row>
    <row r="51" spans="1:22" ht="15" customHeight="1">
      <c r="A51" s="850">
        <v>44750</v>
      </c>
      <c r="B51" s="814">
        <v>126</v>
      </c>
      <c r="C51" s="814">
        <v>4</v>
      </c>
      <c r="D51" s="814">
        <v>0</v>
      </c>
      <c r="E51" s="814">
        <v>0</v>
      </c>
      <c r="F51" s="814">
        <f t="shared" si="0"/>
        <v>3.2</v>
      </c>
      <c r="G51" s="814">
        <f t="shared" si="3"/>
        <v>0</v>
      </c>
      <c r="H51" s="814">
        <f t="shared" si="2"/>
        <v>0</v>
      </c>
      <c r="J51" s="814" t="s">
        <v>474</v>
      </c>
      <c r="M51" s="814"/>
      <c r="N51" s="814"/>
      <c r="O51" s="814"/>
      <c r="P51" s="814"/>
      <c r="Q51" s="814"/>
      <c r="R51" s="814"/>
      <c r="S51" s="814"/>
      <c r="T51" s="814"/>
      <c r="U51" s="814"/>
      <c r="V51" s="814"/>
    </row>
    <row r="52" spans="1:22" ht="15" customHeight="1">
      <c r="A52" s="850">
        <v>44752</v>
      </c>
      <c r="B52" s="814">
        <v>158</v>
      </c>
      <c r="C52" s="814">
        <v>18</v>
      </c>
      <c r="D52" s="814">
        <v>0</v>
      </c>
      <c r="E52" s="814">
        <v>0</v>
      </c>
      <c r="F52" s="814">
        <f t="shared" si="0"/>
        <v>11.4</v>
      </c>
      <c r="G52" s="814">
        <f t="shared" si="3"/>
        <v>0</v>
      </c>
      <c r="H52" s="814">
        <f t="shared" si="2"/>
        <v>0</v>
      </c>
      <c r="J52" s="814" t="s">
        <v>475</v>
      </c>
      <c r="M52" s="814"/>
      <c r="N52" s="814"/>
      <c r="O52" s="814"/>
      <c r="P52" s="814"/>
      <c r="Q52" s="814"/>
      <c r="R52" s="814"/>
      <c r="S52" s="814"/>
      <c r="T52" s="814"/>
      <c r="U52" s="814"/>
      <c r="V52" s="814"/>
    </row>
    <row r="53" spans="1:22" ht="15" customHeight="1">
      <c r="A53" s="850">
        <v>44753</v>
      </c>
      <c r="B53" s="814">
        <v>102</v>
      </c>
      <c r="C53" s="814">
        <v>16</v>
      </c>
      <c r="D53" s="814">
        <v>0</v>
      </c>
      <c r="E53" s="814">
        <v>0</v>
      </c>
      <c r="F53" s="814">
        <f t="shared" si="0"/>
        <v>15.7</v>
      </c>
      <c r="G53" s="814">
        <f t="shared" si="3"/>
        <v>0</v>
      </c>
      <c r="H53" s="814">
        <f t="shared" si="2"/>
        <v>0</v>
      </c>
      <c r="M53" s="814"/>
      <c r="N53" s="814"/>
      <c r="O53" s="814"/>
      <c r="P53" s="814"/>
      <c r="Q53" s="814"/>
      <c r="R53" s="814"/>
      <c r="S53" s="814"/>
      <c r="T53" s="814"/>
      <c r="U53" s="814"/>
      <c r="V53" s="814"/>
    </row>
    <row r="54" spans="1:22" ht="15" customHeight="1">
      <c r="A54" s="850">
        <v>44755</v>
      </c>
      <c r="B54" s="814">
        <v>100</v>
      </c>
      <c r="C54" s="814">
        <v>65</v>
      </c>
      <c r="D54" s="814">
        <v>12</v>
      </c>
      <c r="E54" s="814">
        <v>0</v>
      </c>
      <c r="F54" s="814">
        <f t="shared" si="0"/>
        <v>65</v>
      </c>
      <c r="G54" s="814">
        <f t="shared" si="3"/>
        <v>12</v>
      </c>
      <c r="H54" s="814">
        <f t="shared" si="2"/>
        <v>0</v>
      </c>
      <c r="M54" s="814"/>
      <c r="N54" s="814"/>
      <c r="O54" s="814"/>
      <c r="P54" s="814"/>
      <c r="Q54" s="814"/>
      <c r="R54" s="814"/>
      <c r="S54" s="814"/>
      <c r="T54" s="814"/>
      <c r="U54" s="814"/>
      <c r="V54" s="814"/>
    </row>
    <row r="55" spans="1:22" ht="15" customHeight="1">
      <c r="A55" s="850">
        <v>44757</v>
      </c>
      <c r="B55" s="814">
        <v>105</v>
      </c>
      <c r="C55" s="814">
        <v>73</v>
      </c>
      <c r="D55" s="814">
        <v>28</v>
      </c>
      <c r="E55" s="814">
        <v>9</v>
      </c>
      <c r="F55" s="814">
        <f t="shared" si="0"/>
        <v>69.5</v>
      </c>
      <c r="G55" s="814">
        <f t="shared" si="3"/>
        <v>26.7</v>
      </c>
      <c r="H55" s="814">
        <f t="shared" si="2"/>
        <v>8.6</v>
      </c>
      <c r="M55" s="814"/>
      <c r="N55" s="814"/>
      <c r="O55" s="814"/>
      <c r="P55" s="814"/>
      <c r="Q55" s="814"/>
      <c r="R55" s="814"/>
      <c r="S55" s="814"/>
      <c r="T55" s="814"/>
      <c r="U55" s="814"/>
      <c r="V55" s="814"/>
    </row>
    <row r="56" spans="1:22" ht="15" customHeight="1">
      <c r="A56" s="850">
        <v>44759</v>
      </c>
      <c r="B56" s="814">
        <v>111</v>
      </c>
      <c r="C56" s="814">
        <v>88</v>
      </c>
      <c r="D56" s="814">
        <v>24</v>
      </c>
      <c r="E56" s="814">
        <v>17</v>
      </c>
      <c r="F56" s="814">
        <f t="shared" si="0"/>
        <v>79.3</v>
      </c>
      <c r="G56" s="814">
        <f t="shared" si="3"/>
        <v>21.6</v>
      </c>
      <c r="H56" s="814">
        <f t="shared" si="2"/>
        <v>15.3</v>
      </c>
      <c r="M56" s="814"/>
      <c r="N56" s="814"/>
      <c r="O56" s="814"/>
      <c r="P56" s="814"/>
      <c r="Q56" s="814"/>
      <c r="R56" s="814"/>
      <c r="S56" s="814"/>
      <c r="T56" s="814"/>
      <c r="U56" s="814"/>
      <c r="V56" s="814"/>
    </row>
    <row r="57" spans="1:22" ht="15" customHeight="1">
      <c r="A57" s="850">
        <v>44761</v>
      </c>
      <c r="B57" s="814">
        <v>100</v>
      </c>
      <c r="C57" s="814">
        <v>88</v>
      </c>
      <c r="D57" s="814">
        <v>27</v>
      </c>
      <c r="E57" s="814">
        <v>19</v>
      </c>
      <c r="F57" s="814">
        <f t="shared" si="0"/>
        <v>88</v>
      </c>
      <c r="G57" s="814">
        <f t="shared" si="3"/>
        <v>27</v>
      </c>
      <c r="H57" s="814">
        <f t="shared" si="2"/>
        <v>19</v>
      </c>
      <c r="M57" s="814"/>
      <c r="N57" s="814"/>
      <c r="O57" s="814"/>
      <c r="P57" s="814"/>
      <c r="Q57" s="814"/>
      <c r="R57" s="814"/>
      <c r="S57" s="814"/>
      <c r="T57" s="814"/>
      <c r="U57" s="814"/>
      <c r="V57" s="814"/>
    </row>
    <row r="58" spans="1:22" ht="15" customHeight="1">
      <c r="A58" s="850">
        <v>44762</v>
      </c>
      <c r="B58" s="814">
        <v>104</v>
      </c>
      <c r="C58" s="814">
        <v>102</v>
      </c>
      <c r="D58" s="814">
        <v>39</v>
      </c>
      <c r="E58" s="814">
        <v>25</v>
      </c>
      <c r="F58" s="814">
        <f t="shared" si="0"/>
        <v>98.1</v>
      </c>
      <c r="G58" s="814">
        <f t="shared" si="3"/>
        <v>37.5</v>
      </c>
      <c r="H58" s="814">
        <f t="shared" si="2"/>
        <v>24</v>
      </c>
      <c r="M58" s="814"/>
      <c r="N58" s="814"/>
      <c r="O58" s="814"/>
      <c r="P58" s="814"/>
      <c r="Q58" s="814"/>
      <c r="R58" s="814"/>
      <c r="S58" s="814"/>
      <c r="T58" s="814"/>
      <c r="U58" s="814"/>
      <c r="V58" s="814"/>
    </row>
    <row r="59" spans="1:22" ht="15" customHeight="1">
      <c r="A59" s="850">
        <v>44763</v>
      </c>
      <c r="B59" s="814">
        <v>105</v>
      </c>
      <c r="C59" s="814">
        <v>100</v>
      </c>
      <c r="D59" s="814">
        <v>43</v>
      </c>
      <c r="E59" s="814">
        <v>35</v>
      </c>
      <c r="F59" s="814">
        <f t="shared" si="0"/>
        <v>95.2</v>
      </c>
      <c r="G59" s="814">
        <f t="shared" si="3"/>
        <v>41</v>
      </c>
      <c r="H59" s="814">
        <f t="shared" si="2"/>
        <v>33.299999999999997</v>
      </c>
      <c r="M59" s="814"/>
      <c r="N59" s="814"/>
      <c r="O59" s="814"/>
      <c r="P59" s="814"/>
      <c r="Q59" s="814"/>
      <c r="R59" s="814"/>
      <c r="S59" s="814"/>
      <c r="T59" s="814"/>
      <c r="U59" s="814"/>
      <c r="V59" s="814"/>
    </row>
    <row r="60" spans="1:22" ht="15" customHeight="1">
      <c r="A60" s="840">
        <v>44764</v>
      </c>
      <c r="B60" s="821">
        <v>104</v>
      </c>
      <c r="C60" s="821">
        <v>98</v>
      </c>
      <c r="D60" s="821">
        <v>64</v>
      </c>
      <c r="E60" s="821">
        <v>51</v>
      </c>
      <c r="F60" s="821">
        <f t="shared" si="0"/>
        <v>94.2</v>
      </c>
      <c r="G60" s="821">
        <f t="shared" si="3"/>
        <v>61.5</v>
      </c>
      <c r="H60" s="821">
        <f t="shared" si="2"/>
        <v>49</v>
      </c>
      <c r="I60" s="822">
        <v>43668</v>
      </c>
      <c r="M60" s="814"/>
      <c r="N60" s="814"/>
      <c r="O60" s="814"/>
      <c r="P60" s="814"/>
      <c r="Q60" s="814"/>
      <c r="R60" s="814"/>
      <c r="S60" s="814"/>
      <c r="T60" s="814"/>
      <c r="U60" s="814"/>
      <c r="V60" s="814"/>
    </row>
    <row r="61" spans="1:22" ht="15" customHeight="1">
      <c r="A61" s="850">
        <v>45112</v>
      </c>
      <c r="B61" s="814">
        <v>127</v>
      </c>
      <c r="C61" s="814">
        <v>43</v>
      </c>
      <c r="D61" s="814">
        <v>0</v>
      </c>
      <c r="E61" s="814">
        <v>0</v>
      </c>
      <c r="F61" s="814">
        <f t="shared" si="0"/>
        <v>33.9</v>
      </c>
      <c r="G61" s="814">
        <f t="shared" si="3"/>
        <v>0</v>
      </c>
      <c r="H61" s="814">
        <f t="shared" si="2"/>
        <v>0</v>
      </c>
      <c r="M61" s="814"/>
      <c r="N61" s="814"/>
      <c r="O61" s="814"/>
      <c r="P61" s="814"/>
      <c r="Q61" s="814"/>
      <c r="R61" s="814"/>
      <c r="S61" s="814"/>
      <c r="T61" s="814"/>
      <c r="U61" s="814"/>
      <c r="V61" s="814"/>
    </row>
    <row r="62" spans="1:22" ht="15" customHeight="1">
      <c r="A62" s="850">
        <v>45114</v>
      </c>
      <c r="B62" s="814">
        <v>109</v>
      </c>
      <c r="C62" s="814">
        <v>71</v>
      </c>
      <c r="D62" s="814">
        <v>0</v>
      </c>
      <c r="E62" s="814">
        <v>0</v>
      </c>
      <c r="F62" s="814">
        <f t="shared" si="0"/>
        <v>65.099999999999994</v>
      </c>
      <c r="G62" s="814">
        <f t="shared" si="3"/>
        <v>0</v>
      </c>
      <c r="H62" s="814">
        <f t="shared" si="2"/>
        <v>0</v>
      </c>
      <c r="M62" s="814"/>
      <c r="N62" s="814"/>
      <c r="O62" s="814"/>
      <c r="P62" s="814"/>
      <c r="Q62" s="814"/>
      <c r="R62" s="814"/>
      <c r="S62" s="814"/>
      <c r="T62" s="814"/>
      <c r="U62" s="814"/>
      <c r="V62" s="814"/>
    </row>
    <row r="63" spans="1:22" ht="15" customHeight="1">
      <c r="A63" s="850">
        <v>45117</v>
      </c>
      <c r="B63" s="814">
        <v>114</v>
      </c>
      <c r="C63" s="814">
        <v>105</v>
      </c>
      <c r="D63" s="814">
        <v>24</v>
      </c>
      <c r="E63" s="814">
        <v>5</v>
      </c>
      <c r="F63" s="814">
        <f t="shared" si="0"/>
        <v>92.1</v>
      </c>
      <c r="G63" s="814">
        <f t="shared" si="3"/>
        <v>21.1</v>
      </c>
      <c r="H63" s="814">
        <f t="shared" si="2"/>
        <v>4.4000000000000004</v>
      </c>
      <c r="I63" s="850"/>
      <c r="M63" s="814"/>
      <c r="N63" s="814"/>
      <c r="O63" s="814"/>
      <c r="P63" s="814"/>
      <c r="Q63" s="814"/>
      <c r="R63" s="814"/>
      <c r="S63" s="814"/>
      <c r="T63" s="814"/>
      <c r="U63" s="814"/>
      <c r="V63" s="814"/>
    </row>
    <row r="64" spans="1:22" ht="15" customHeight="1">
      <c r="A64" s="850">
        <v>45118</v>
      </c>
      <c r="B64" s="814">
        <v>117</v>
      </c>
      <c r="C64" s="814">
        <v>112</v>
      </c>
      <c r="D64" s="814">
        <v>21</v>
      </c>
      <c r="E64" s="814">
        <v>6</v>
      </c>
      <c r="F64" s="814">
        <f t="shared" si="0"/>
        <v>95.7</v>
      </c>
      <c r="G64" s="814">
        <f t="shared" si="3"/>
        <v>17.899999999999999</v>
      </c>
      <c r="H64" s="814">
        <f t="shared" si="2"/>
        <v>5.0999999999999996</v>
      </c>
      <c r="M64" s="814"/>
      <c r="N64" s="814"/>
      <c r="O64" s="814"/>
      <c r="P64" s="814"/>
      <c r="Q64" s="814"/>
      <c r="R64" s="814"/>
      <c r="S64" s="814"/>
      <c r="T64" s="814"/>
      <c r="U64" s="814"/>
      <c r="V64" s="814"/>
    </row>
    <row r="65" spans="1:22" ht="15" customHeight="1">
      <c r="A65" s="850">
        <v>45119</v>
      </c>
      <c r="B65" s="814">
        <v>150</v>
      </c>
      <c r="C65" s="814">
        <v>144</v>
      </c>
      <c r="D65" s="814">
        <v>65</v>
      </c>
      <c r="E65" s="814">
        <v>34</v>
      </c>
      <c r="F65" s="814">
        <f t="shared" si="0"/>
        <v>96</v>
      </c>
      <c r="G65" s="814">
        <f t="shared" si="3"/>
        <v>43.3</v>
      </c>
      <c r="H65" s="814">
        <f t="shared" si="2"/>
        <v>22.7</v>
      </c>
      <c r="M65" s="814"/>
      <c r="N65" s="814"/>
      <c r="O65" s="814"/>
      <c r="P65" s="814"/>
      <c r="Q65" s="814"/>
      <c r="R65" s="814"/>
      <c r="S65" s="814"/>
      <c r="T65" s="814"/>
      <c r="U65" s="814"/>
      <c r="V65" s="814"/>
    </row>
    <row r="66" spans="1:22" ht="15" customHeight="1">
      <c r="A66" s="850">
        <v>45120</v>
      </c>
      <c r="B66" s="814">
        <v>127</v>
      </c>
      <c r="C66" s="814">
        <v>123</v>
      </c>
      <c r="D66" s="814">
        <v>80</v>
      </c>
      <c r="E66" s="814">
        <v>53</v>
      </c>
      <c r="F66" s="814">
        <f t="shared" si="0"/>
        <v>96.9</v>
      </c>
      <c r="G66" s="814">
        <f t="shared" si="3"/>
        <v>63</v>
      </c>
      <c r="H66" s="814">
        <f t="shared" si="2"/>
        <v>41.7</v>
      </c>
      <c r="M66" s="814"/>
      <c r="N66" s="814"/>
      <c r="O66" s="814"/>
      <c r="P66" s="814"/>
      <c r="Q66" s="814"/>
      <c r="R66" s="814"/>
      <c r="S66" s="814"/>
      <c r="T66" s="814"/>
      <c r="U66" s="814"/>
      <c r="V66" s="814"/>
    </row>
    <row r="67" spans="1:22" ht="15" customHeight="1">
      <c r="A67" s="850">
        <v>45121</v>
      </c>
      <c r="B67" s="814">
        <v>108</v>
      </c>
      <c r="C67" s="814">
        <v>108</v>
      </c>
      <c r="D67" s="814">
        <v>79</v>
      </c>
      <c r="E67" s="814">
        <v>60</v>
      </c>
      <c r="F67" s="814">
        <f t="shared" si="0"/>
        <v>100</v>
      </c>
      <c r="G67" s="814">
        <f t="shared" si="3"/>
        <v>73.099999999999994</v>
      </c>
      <c r="H67" s="814">
        <f t="shared" si="2"/>
        <v>55.6</v>
      </c>
      <c r="I67" s="822">
        <v>43660</v>
      </c>
      <c r="M67" s="814"/>
      <c r="N67" s="814"/>
      <c r="O67" s="814"/>
      <c r="P67" s="814"/>
      <c r="Q67" s="814"/>
      <c r="R67" s="814"/>
      <c r="S67" s="814"/>
      <c r="T67" s="814"/>
      <c r="U67" s="814"/>
      <c r="V67" s="814"/>
    </row>
    <row r="68" spans="1:22" ht="15" customHeight="1">
      <c r="A68" s="850">
        <v>45122</v>
      </c>
      <c r="B68" s="814">
        <v>134</v>
      </c>
      <c r="C68" s="814">
        <v>134</v>
      </c>
      <c r="D68" s="814">
        <v>48</v>
      </c>
      <c r="E68" s="814">
        <v>86</v>
      </c>
      <c r="F68" s="814">
        <f t="shared" si="0"/>
        <v>100</v>
      </c>
      <c r="G68" s="814">
        <f t="shared" si="3"/>
        <v>35.799999999999997</v>
      </c>
      <c r="H68" s="814">
        <f t="shared" si="2"/>
        <v>64.2</v>
      </c>
      <c r="M68" s="814"/>
      <c r="N68" s="814"/>
      <c r="O68" s="814"/>
      <c r="P68" s="814"/>
      <c r="Q68" s="814"/>
      <c r="R68" s="814"/>
      <c r="S68" s="814"/>
      <c r="T68" s="814"/>
      <c r="U68" s="814"/>
      <c r="V68" s="814"/>
    </row>
    <row r="69" spans="1:22" ht="15" customHeight="1">
      <c r="A69" s="850">
        <v>45123</v>
      </c>
      <c r="B69" s="814">
        <v>110</v>
      </c>
      <c r="C69" s="814">
        <v>110</v>
      </c>
      <c r="D69" s="814">
        <v>110</v>
      </c>
      <c r="E69" s="814">
        <v>79</v>
      </c>
      <c r="F69" s="814">
        <f t="shared" si="0"/>
        <v>100</v>
      </c>
      <c r="G69" s="814">
        <f t="shared" si="3"/>
        <v>100</v>
      </c>
      <c r="H69" s="814">
        <f t="shared" si="2"/>
        <v>71.8</v>
      </c>
      <c r="M69" s="814"/>
      <c r="N69" s="814"/>
      <c r="O69" s="814"/>
      <c r="P69" s="814"/>
      <c r="Q69" s="814"/>
      <c r="R69" s="814"/>
      <c r="S69" s="814"/>
      <c r="T69" s="814"/>
      <c r="U69" s="814"/>
      <c r="V69" s="814"/>
    </row>
    <row r="70" spans="1:22" ht="15" customHeight="1">
      <c r="A70" s="840">
        <v>45125</v>
      </c>
      <c r="B70" s="821">
        <v>141</v>
      </c>
      <c r="C70" s="821">
        <v>141</v>
      </c>
      <c r="D70" s="821">
        <v>141</v>
      </c>
      <c r="E70" s="821">
        <v>139</v>
      </c>
      <c r="F70" s="821">
        <f t="shared" si="0"/>
        <v>100</v>
      </c>
      <c r="G70" s="821">
        <f t="shared" si="3"/>
        <v>100</v>
      </c>
      <c r="H70" s="821">
        <f t="shared" si="2"/>
        <v>98.6</v>
      </c>
      <c r="I70" s="821"/>
      <c r="M70" s="814"/>
      <c r="N70" s="814"/>
      <c r="O70" s="814"/>
      <c r="P70" s="814"/>
      <c r="Q70" s="814"/>
      <c r="R70" s="814"/>
      <c r="S70" s="814"/>
      <c r="T70" s="814"/>
      <c r="U70" s="814"/>
      <c r="V70" s="814"/>
    </row>
    <row r="71" spans="1:22" ht="15" customHeight="1">
      <c r="A71" s="850">
        <v>45481</v>
      </c>
      <c r="B71" s="814">
        <v>100</v>
      </c>
      <c r="C71" s="814">
        <v>37</v>
      </c>
      <c r="D71" s="814">
        <v>1</v>
      </c>
      <c r="E71" s="814">
        <v>0</v>
      </c>
      <c r="F71" s="814">
        <f t="shared" si="0"/>
        <v>37</v>
      </c>
      <c r="G71" s="814">
        <f t="shared" si="3"/>
        <v>1</v>
      </c>
      <c r="H71" s="814">
        <f t="shared" si="2"/>
        <v>0</v>
      </c>
      <c r="M71" s="814"/>
      <c r="N71" s="814"/>
      <c r="O71" s="814"/>
      <c r="P71" s="814"/>
      <c r="Q71" s="814"/>
      <c r="R71" s="814"/>
      <c r="S71" s="814"/>
      <c r="T71" s="814"/>
      <c r="U71" s="814"/>
      <c r="V71" s="814"/>
    </row>
    <row r="72" spans="1:22" ht="15" customHeight="1">
      <c r="A72" s="850">
        <v>45483</v>
      </c>
      <c r="B72" s="814">
        <v>100</v>
      </c>
      <c r="C72" s="814">
        <v>45</v>
      </c>
      <c r="D72" s="814">
        <v>0</v>
      </c>
      <c r="E72" s="814">
        <v>0</v>
      </c>
      <c r="F72" s="814">
        <f t="shared" si="0"/>
        <v>45</v>
      </c>
      <c r="G72" s="814">
        <f t="shared" si="3"/>
        <v>0</v>
      </c>
      <c r="H72" s="814">
        <f t="shared" si="2"/>
        <v>0</v>
      </c>
      <c r="M72" s="814"/>
      <c r="N72" s="814"/>
      <c r="O72" s="814"/>
      <c r="P72" s="814"/>
      <c r="Q72" s="814"/>
      <c r="R72" s="814"/>
      <c r="S72" s="814"/>
      <c r="T72" s="814"/>
      <c r="U72" s="814"/>
      <c r="V72" s="814"/>
    </row>
    <row r="73" spans="1:22" ht="15" customHeight="1">
      <c r="A73" s="850">
        <v>45489</v>
      </c>
      <c r="B73" s="814">
        <v>100</v>
      </c>
      <c r="C73" s="814">
        <v>35</v>
      </c>
      <c r="D73" s="814">
        <v>32</v>
      </c>
      <c r="E73" s="814">
        <v>29</v>
      </c>
      <c r="F73" s="814">
        <f t="shared" si="0"/>
        <v>35</v>
      </c>
      <c r="G73" s="814">
        <f t="shared" si="3"/>
        <v>32</v>
      </c>
      <c r="H73" s="814">
        <f t="shared" si="2"/>
        <v>29</v>
      </c>
      <c r="M73" s="814"/>
      <c r="N73" s="814"/>
      <c r="O73" s="814"/>
      <c r="P73" s="814"/>
      <c r="Q73" s="814"/>
      <c r="R73" s="814"/>
      <c r="S73" s="814"/>
      <c r="T73" s="814"/>
      <c r="U73" s="814"/>
      <c r="V73" s="814"/>
    </row>
    <row r="74" spans="1:22" ht="15" customHeight="1">
      <c r="A74" s="840">
        <v>45490</v>
      </c>
      <c r="B74" s="821">
        <v>100</v>
      </c>
      <c r="C74" s="821">
        <v>47</v>
      </c>
      <c r="D74" s="821">
        <v>47</v>
      </c>
      <c r="E74" s="821">
        <v>47</v>
      </c>
      <c r="F74" s="821">
        <f t="shared" si="0"/>
        <v>47</v>
      </c>
      <c r="G74" s="821">
        <f t="shared" si="3"/>
        <v>47</v>
      </c>
      <c r="H74" s="821">
        <f t="shared" si="2"/>
        <v>47</v>
      </c>
      <c r="I74" s="822">
        <v>43663</v>
      </c>
      <c r="M74" s="814"/>
      <c r="N74" s="814"/>
      <c r="O74" s="814"/>
      <c r="P74" s="814"/>
      <c r="Q74" s="814"/>
      <c r="R74" s="814"/>
      <c r="S74" s="814"/>
      <c r="T74" s="814"/>
      <c r="U74" s="814"/>
      <c r="V74" s="814"/>
    </row>
    <row r="75" spans="1:22" ht="15" customHeight="1">
      <c r="A75" s="850">
        <v>45845</v>
      </c>
      <c r="B75" s="218">
        <v>54</v>
      </c>
      <c r="C75" s="218">
        <v>4</v>
      </c>
      <c r="D75" s="218">
        <v>0</v>
      </c>
      <c r="E75" s="218">
        <v>0</v>
      </c>
      <c r="F75" s="1577">
        <f t="shared" ref="F75:F78" si="4">IF(OR(B75="",C75=""),"",ROUND(C75/B75*100,1))</f>
        <v>7.4</v>
      </c>
      <c r="G75" s="1581">
        <f t="shared" ref="G75:G78" si="5">IF(OR(B75="",D75=""),"",ROUND(D75/B75*100,1))</f>
        <v>0</v>
      </c>
      <c r="H75" s="1581">
        <f t="shared" ref="H75:H78" si="6">IF(OR(B75="",E75=""),"",ROUND(E75/B75*100,1))</f>
        <v>0</v>
      </c>
      <c r="I75" s="828"/>
      <c r="M75" s="814"/>
      <c r="N75" s="814"/>
      <c r="O75" s="814"/>
      <c r="P75" s="814"/>
      <c r="Q75" s="814"/>
      <c r="R75" s="814"/>
      <c r="S75" s="814"/>
      <c r="T75" s="814"/>
      <c r="U75" s="814"/>
      <c r="V75" s="814"/>
    </row>
    <row r="76" spans="1:22" ht="15" customHeight="1">
      <c r="A76" s="1689">
        <v>45848</v>
      </c>
      <c r="B76" s="1697">
        <v>41</v>
      </c>
      <c r="C76" s="1697">
        <v>16</v>
      </c>
      <c r="D76" s="1697">
        <v>0</v>
      </c>
      <c r="E76" s="1697">
        <v>0</v>
      </c>
      <c r="F76" s="1691">
        <f t="shared" si="4"/>
        <v>39</v>
      </c>
      <c r="G76" s="1692">
        <f t="shared" si="5"/>
        <v>0</v>
      </c>
      <c r="H76" s="1692">
        <f t="shared" si="6"/>
        <v>0</v>
      </c>
      <c r="I76" s="1694"/>
      <c r="M76" s="814"/>
      <c r="N76" s="814"/>
      <c r="O76" s="814"/>
      <c r="P76" s="814"/>
      <c r="Q76" s="814"/>
      <c r="R76" s="814"/>
      <c r="S76" s="814"/>
      <c r="T76" s="814"/>
      <c r="U76" s="814"/>
      <c r="V76" s="814"/>
    </row>
    <row r="77" spans="1:22" ht="15" customHeight="1">
      <c r="A77" s="1689">
        <v>45849</v>
      </c>
      <c r="B77" s="1697">
        <v>200</v>
      </c>
      <c r="C77" s="1697">
        <v>198</v>
      </c>
      <c r="D77" s="1697">
        <v>97</v>
      </c>
      <c r="E77" s="1697">
        <v>43</v>
      </c>
      <c r="F77" s="1691">
        <f t="shared" si="4"/>
        <v>99</v>
      </c>
      <c r="G77" s="1692">
        <f t="shared" si="5"/>
        <v>48.5</v>
      </c>
      <c r="H77" s="1692">
        <f t="shared" si="6"/>
        <v>21.5</v>
      </c>
      <c r="I77" s="1694"/>
      <c r="M77" s="814"/>
      <c r="N77" s="814"/>
      <c r="O77" s="814"/>
      <c r="P77" s="814"/>
      <c r="Q77" s="814"/>
      <c r="R77" s="814"/>
      <c r="S77" s="814"/>
      <c r="T77" s="814"/>
      <c r="U77" s="814"/>
      <c r="V77" s="814"/>
    </row>
    <row r="78" spans="1:22" ht="15" customHeight="1">
      <c r="A78" s="1768">
        <v>45852</v>
      </c>
      <c r="B78" s="1773">
        <v>100</v>
      </c>
      <c r="C78" s="1773">
        <v>100</v>
      </c>
      <c r="D78" s="1773">
        <v>77</v>
      </c>
      <c r="E78" s="1773">
        <v>53</v>
      </c>
      <c r="F78" s="1769">
        <f t="shared" si="4"/>
        <v>100</v>
      </c>
      <c r="G78" s="1770">
        <f t="shared" si="5"/>
        <v>77</v>
      </c>
      <c r="H78" s="1770">
        <f t="shared" si="6"/>
        <v>53</v>
      </c>
      <c r="I78" s="1771">
        <v>43660</v>
      </c>
      <c r="M78" s="814"/>
      <c r="N78" s="814"/>
      <c r="O78" s="814"/>
      <c r="P78" s="814"/>
      <c r="Q78" s="814"/>
      <c r="R78" s="814"/>
      <c r="S78" s="814"/>
      <c r="T78" s="814"/>
      <c r="U78" s="814"/>
      <c r="V78" s="814"/>
    </row>
    <row r="79" spans="1:22" ht="15" customHeight="1">
      <c r="A79" s="850"/>
      <c r="B79" s="1688">
        <v>54</v>
      </c>
      <c r="C79" s="1688"/>
      <c r="D79" s="1688"/>
      <c r="E79" s="1688"/>
      <c r="F79" s="1577" t="str">
        <f t="shared" ref="F79:F82" si="7">IF(OR(B79="",C79=""),"",ROUND(C79/B79*100,1))</f>
        <v/>
      </c>
      <c r="G79" s="1581" t="str">
        <f t="shared" ref="G79:G82" si="8">IF(OR(B79="",D79=""),"",ROUND(D79/B79*100,1))</f>
        <v/>
      </c>
      <c r="H79" s="1581" t="str">
        <f t="shared" ref="H79:H82" si="9">IF(OR(B79="",E79=""),"",ROUND(E79/B79*100,1))</f>
        <v/>
      </c>
      <c r="I79" s="828"/>
      <c r="M79" s="814"/>
      <c r="N79" s="814"/>
      <c r="O79" s="814"/>
      <c r="P79" s="814"/>
      <c r="Q79" s="814"/>
      <c r="R79" s="814"/>
      <c r="S79" s="814"/>
      <c r="T79" s="814"/>
      <c r="U79" s="814"/>
      <c r="V79" s="814"/>
    </row>
    <row r="80" spans="1:22" ht="15" customHeight="1">
      <c r="A80" s="1689"/>
      <c r="B80" s="1695">
        <v>41</v>
      </c>
      <c r="C80" s="1695"/>
      <c r="D80" s="1695"/>
      <c r="E80" s="1695"/>
      <c r="F80" s="1691" t="str">
        <f t="shared" si="7"/>
        <v/>
      </c>
      <c r="G80" s="1692" t="str">
        <f t="shared" si="8"/>
        <v/>
      </c>
      <c r="H80" s="1692" t="str">
        <f t="shared" si="9"/>
        <v/>
      </c>
      <c r="I80" s="1694"/>
      <c r="M80" s="814"/>
      <c r="N80" s="814"/>
      <c r="O80" s="814"/>
      <c r="P80" s="814"/>
      <c r="Q80" s="814"/>
      <c r="R80" s="814"/>
      <c r="S80" s="814"/>
      <c r="T80" s="814"/>
      <c r="U80" s="814"/>
      <c r="V80" s="814"/>
    </row>
    <row r="81" spans="1:22" ht="15" customHeight="1">
      <c r="A81" s="1689"/>
      <c r="B81" s="1695">
        <v>200</v>
      </c>
      <c r="C81" s="1695"/>
      <c r="D81" s="1695"/>
      <c r="E81" s="1695"/>
      <c r="F81" s="1691" t="str">
        <f t="shared" si="7"/>
        <v/>
      </c>
      <c r="G81" s="1692" t="str">
        <f t="shared" si="8"/>
        <v/>
      </c>
      <c r="H81" s="1692" t="str">
        <f t="shared" si="9"/>
        <v/>
      </c>
      <c r="I81" s="1694"/>
      <c r="M81" s="814"/>
      <c r="N81" s="814"/>
      <c r="O81" s="814"/>
      <c r="P81" s="814"/>
      <c r="Q81" s="814"/>
      <c r="R81" s="814"/>
      <c r="S81" s="814"/>
      <c r="T81" s="814"/>
      <c r="U81" s="814"/>
      <c r="V81" s="814"/>
    </row>
    <row r="82" spans="1:22" ht="15" customHeight="1">
      <c r="A82" s="850"/>
      <c r="B82" s="1688">
        <v>100</v>
      </c>
      <c r="C82" s="1688"/>
      <c r="D82" s="1688"/>
      <c r="E82" s="1688"/>
      <c r="F82" s="1577" t="str">
        <f t="shared" si="7"/>
        <v/>
      </c>
      <c r="G82" s="1581" t="str">
        <f t="shared" si="8"/>
        <v/>
      </c>
      <c r="H82" s="1581" t="str">
        <f t="shared" si="9"/>
        <v/>
      </c>
      <c r="I82" s="828"/>
      <c r="M82" s="814"/>
      <c r="N82" s="814"/>
      <c r="O82" s="814"/>
      <c r="P82" s="814"/>
      <c r="Q82" s="814"/>
      <c r="R82" s="814"/>
      <c r="S82" s="814"/>
      <c r="T82" s="814"/>
      <c r="U82" s="814"/>
      <c r="V82" s="814"/>
    </row>
    <row r="83" spans="1:22" ht="15" customHeight="1">
      <c r="A83" s="1702" t="s">
        <v>535</v>
      </c>
      <c r="B83" s="1703"/>
      <c r="C83" s="1703"/>
      <c r="D83" s="1703"/>
      <c r="E83" s="1703"/>
      <c r="F83" s="1704"/>
      <c r="G83" s="1704"/>
      <c r="H83" s="1705"/>
      <c r="I83" s="1700">
        <f>AVERAGE(I41:I78)</f>
        <v>43662.6</v>
      </c>
      <c r="M83" s="814"/>
      <c r="N83" s="814"/>
      <c r="O83" s="814"/>
      <c r="P83" s="814"/>
      <c r="Q83" s="814"/>
      <c r="R83" s="814"/>
      <c r="S83" s="814"/>
      <c r="T83" s="814"/>
      <c r="U83" s="814"/>
      <c r="V83" s="814"/>
    </row>
    <row r="84" spans="1:22" ht="15" customHeight="1">
      <c r="M84" s="814"/>
      <c r="N84" s="814"/>
      <c r="O84" s="814"/>
      <c r="P84" s="814"/>
      <c r="Q84" s="814"/>
      <c r="R84" s="814"/>
      <c r="S84" s="814"/>
      <c r="T84" s="814"/>
      <c r="U84" s="814"/>
      <c r="V84" s="814"/>
    </row>
    <row r="85" spans="1:22" ht="15" customHeight="1">
      <c r="M85" s="814"/>
      <c r="N85" s="814"/>
      <c r="O85" s="814"/>
      <c r="P85" s="814"/>
      <c r="Q85" s="814"/>
      <c r="R85" s="814"/>
      <c r="S85" s="814"/>
      <c r="T85" s="814"/>
      <c r="U85" s="814"/>
      <c r="V85" s="814"/>
    </row>
    <row r="86" spans="1:22" ht="15" customHeight="1">
      <c r="M86" s="814"/>
      <c r="N86" s="814"/>
      <c r="O86" s="814"/>
      <c r="P86" s="814"/>
      <c r="Q86" s="814"/>
      <c r="R86" s="814"/>
      <c r="S86" s="814"/>
      <c r="T86" s="814"/>
      <c r="U86" s="814"/>
      <c r="V86" s="814"/>
    </row>
    <row r="87" spans="1:22" ht="15" customHeight="1">
      <c r="A87" s="218"/>
      <c r="B87" s="218"/>
      <c r="C87" s="1169"/>
      <c r="D87" s="1169"/>
      <c r="E87" s="1169"/>
      <c r="F87" s="1169"/>
      <c r="G87" s="1170"/>
      <c r="H87" s="218"/>
      <c r="I87" s="218"/>
      <c r="J87" s="218"/>
      <c r="M87" s="814"/>
      <c r="N87" s="814"/>
      <c r="O87" s="814"/>
      <c r="P87" s="814"/>
      <c r="Q87" s="814"/>
      <c r="R87" s="814"/>
      <c r="S87" s="814"/>
      <c r="T87" s="814"/>
      <c r="U87" s="814"/>
      <c r="V87" s="814"/>
    </row>
  </sheetData>
  <mergeCells count="10">
    <mergeCell ref="A4:A5"/>
    <mergeCell ref="B4:B5"/>
    <mergeCell ref="C4:C5"/>
    <mergeCell ref="J4:J5"/>
    <mergeCell ref="D4:D5"/>
    <mergeCell ref="E4:E5"/>
    <mergeCell ref="F4:F5"/>
    <mergeCell ref="G4:G5"/>
    <mergeCell ref="H4:H5"/>
    <mergeCell ref="I4:I5"/>
  </mergeCells>
  <phoneticPr fontId="2"/>
  <printOptions horizontalCentered="1" verticalCentered="1"/>
  <pageMargins left="0.78740157480314965" right="0.78740157480314965" top="0.19685039370078741" bottom="0.19685039370078741" header="0.51181102362204722" footer="0.51181102362204722"/>
  <pageSetup paperSize="9" scale="73" orientation="portrait" cellComments="asDisplayed" r:id="rId1"/>
  <headerFooter alignWithMargins="0"/>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
    <tabColor rgb="FFFFC000"/>
  </sheetPr>
  <dimension ref="A1:AG129"/>
  <sheetViews>
    <sheetView zoomScale="80" zoomScaleNormal="80" workbookViewId="0">
      <selection activeCell="K48" sqref="K48"/>
    </sheetView>
  </sheetViews>
  <sheetFormatPr defaultColWidth="9" defaultRowHeight="13"/>
  <cols>
    <col min="1" max="1" width="2.6328125" style="234" customWidth="1"/>
    <col min="2" max="2" width="10.6328125" style="234" customWidth="1"/>
    <col min="3" max="4" width="8.6328125" style="234" customWidth="1"/>
    <col min="5" max="5" width="8.36328125" style="234" bestFit="1" customWidth="1"/>
    <col min="6" max="6" width="8.6328125" style="234" customWidth="1"/>
    <col min="7" max="7" width="8.36328125" style="234" bestFit="1" customWidth="1"/>
    <col min="8" max="8" width="8.6328125" style="234" customWidth="1"/>
    <col min="9" max="9" width="8.36328125" style="234" bestFit="1" customWidth="1"/>
    <col min="10" max="10" width="8.6328125" style="234" customWidth="1"/>
    <col min="11" max="11" width="9.36328125" style="234" bestFit="1" customWidth="1"/>
    <col min="12" max="12" width="4.26953125" style="234" customWidth="1"/>
    <col min="13" max="15" width="9" style="234"/>
    <col min="16" max="16" width="8.36328125" style="234" bestFit="1" customWidth="1"/>
    <col min="17" max="17" width="9" style="234"/>
    <col min="18" max="18" width="8.36328125" style="234" bestFit="1" customWidth="1"/>
    <col min="19" max="19" width="9" style="234"/>
    <col min="20" max="20" width="8.36328125" style="234" bestFit="1" customWidth="1"/>
    <col min="21" max="21" width="9" style="234"/>
    <col min="22" max="22" width="9.36328125" style="234" bestFit="1" customWidth="1"/>
    <col min="23" max="23" width="4.26953125" style="234" customWidth="1"/>
    <col min="24" max="26" width="9" style="234"/>
    <col min="27" max="27" width="8.36328125" style="234" bestFit="1" customWidth="1"/>
    <col min="28" max="28" width="9" style="234"/>
    <col min="29" max="29" width="8.36328125" style="234" bestFit="1" customWidth="1"/>
    <col min="30" max="30" width="9" style="234"/>
    <col min="31" max="31" width="8.36328125" style="234" bestFit="1" customWidth="1"/>
    <col min="32" max="32" width="9" style="234"/>
    <col min="33" max="33" width="9.36328125" style="234" bestFit="1" customWidth="1"/>
    <col min="34" max="16384" width="9" style="234"/>
  </cols>
  <sheetData>
    <row r="1" spans="1:33" ht="6" customHeight="1">
      <c r="A1" s="233"/>
      <c r="B1" s="233"/>
      <c r="C1" s="233"/>
      <c r="D1" s="233"/>
      <c r="E1" s="233"/>
      <c r="F1" s="233"/>
      <c r="G1" s="233"/>
      <c r="H1" s="233"/>
      <c r="I1" s="233"/>
      <c r="J1" s="233"/>
      <c r="K1" s="233"/>
      <c r="V1" s="233"/>
    </row>
    <row r="2" spans="1:33" ht="17.25" customHeight="1">
      <c r="A2" s="233"/>
      <c r="B2" s="1956" t="s">
        <v>527</v>
      </c>
      <c r="C2" s="1956"/>
      <c r="D2" s="1956"/>
      <c r="E2" s="1956"/>
      <c r="F2" s="1956"/>
      <c r="G2" s="1956"/>
      <c r="H2" s="1956"/>
      <c r="I2" s="1956"/>
      <c r="J2" s="1956"/>
      <c r="K2" s="1956"/>
      <c r="L2" s="1956"/>
      <c r="M2" s="1956"/>
      <c r="N2" s="1956"/>
      <c r="O2" s="1956"/>
      <c r="P2" s="1956"/>
      <c r="Q2" s="1956"/>
      <c r="R2" s="1956"/>
      <c r="S2" s="1956"/>
      <c r="T2" s="1956"/>
      <c r="U2" s="1956"/>
      <c r="V2" s="1956"/>
      <c r="W2" s="1956"/>
      <c r="X2" s="1956"/>
      <c r="Y2" s="1956"/>
      <c r="Z2" s="1956"/>
      <c r="AA2" s="1956"/>
      <c r="AB2" s="1956"/>
      <c r="AC2" s="1956"/>
      <c r="AD2" s="1956"/>
      <c r="AE2" s="1956"/>
      <c r="AF2" s="1956"/>
      <c r="AG2" s="1956"/>
    </row>
    <row r="3" spans="1:33" ht="21">
      <c r="A3" s="233"/>
      <c r="B3" s="54" t="s">
        <v>111</v>
      </c>
      <c r="C3" s="233"/>
      <c r="D3" s="233"/>
      <c r="E3" s="233"/>
      <c r="F3" s="233"/>
      <c r="G3" s="233"/>
      <c r="H3" s="233"/>
      <c r="I3" s="233"/>
      <c r="J3" s="233"/>
      <c r="K3" s="233"/>
      <c r="M3" s="54" t="s">
        <v>113</v>
      </c>
      <c r="N3" s="233"/>
      <c r="O3" s="233"/>
      <c r="P3" s="233"/>
      <c r="Q3" s="233"/>
      <c r="R3" s="233"/>
      <c r="S3" s="233"/>
      <c r="T3" s="233"/>
      <c r="U3" s="233"/>
      <c r="V3" s="233"/>
      <c r="X3" s="54" t="s">
        <v>112</v>
      </c>
      <c r="Y3" s="233"/>
      <c r="Z3" s="233"/>
      <c r="AA3" s="233"/>
      <c r="AB3" s="233"/>
      <c r="AC3" s="233"/>
      <c r="AD3" s="233"/>
      <c r="AE3" s="233"/>
      <c r="AF3" s="233"/>
    </row>
    <row r="4" spans="1:33" ht="6" customHeight="1" thickBot="1">
      <c r="A4" s="233"/>
      <c r="B4" s="233"/>
      <c r="C4" s="233"/>
      <c r="D4" s="233"/>
      <c r="E4" s="233"/>
      <c r="F4" s="233"/>
      <c r="G4" s="233"/>
      <c r="H4" s="233"/>
      <c r="I4" s="233"/>
      <c r="J4" s="233"/>
      <c r="K4" s="233"/>
      <c r="M4" s="233"/>
      <c r="N4" s="233"/>
      <c r="O4" s="233"/>
      <c r="P4" s="233"/>
      <c r="Q4" s="233"/>
      <c r="R4" s="233"/>
      <c r="S4" s="233"/>
      <c r="T4" s="233"/>
      <c r="U4" s="233"/>
      <c r="V4" s="233"/>
      <c r="X4" s="233"/>
      <c r="Y4" s="233"/>
      <c r="Z4" s="233"/>
      <c r="AA4" s="233"/>
      <c r="AB4" s="233"/>
      <c r="AC4" s="233"/>
      <c r="AD4" s="233"/>
      <c r="AE4" s="233"/>
      <c r="AF4" s="233"/>
    </row>
    <row r="5" spans="1:33">
      <c r="A5" s="233"/>
      <c r="B5" s="375"/>
      <c r="C5" s="373"/>
      <c r="D5" s="1642" t="s">
        <v>75</v>
      </c>
      <c r="E5" s="1959" t="s">
        <v>525</v>
      </c>
      <c r="F5" s="377" t="s">
        <v>45</v>
      </c>
      <c r="G5" s="1959" t="s">
        <v>525</v>
      </c>
      <c r="H5" s="377" t="s">
        <v>76</v>
      </c>
      <c r="I5" s="1959" t="s">
        <v>525</v>
      </c>
      <c r="J5" s="377" t="s">
        <v>77</v>
      </c>
      <c r="K5" s="1965" t="s">
        <v>525</v>
      </c>
      <c r="M5" s="375"/>
      <c r="N5" s="373"/>
      <c r="O5" s="376" t="s">
        <v>78</v>
      </c>
      <c r="P5" s="1959" t="s">
        <v>525</v>
      </c>
      <c r="Q5" s="377" t="s">
        <v>45</v>
      </c>
      <c r="R5" s="1959" t="s">
        <v>525</v>
      </c>
      <c r="S5" s="377" t="s">
        <v>79</v>
      </c>
      <c r="T5" s="1959" t="s">
        <v>525</v>
      </c>
      <c r="U5" s="377" t="s">
        <v>80</v>
      </c>
      <c r="V5" s="1957" t="s">
        <v>525</v>
      </c>
      <c r="X5" s="375"/>
      <c r="Y5" s="373"/>
      <c r="Z5" s="376" t="s">
        <v>75</v>
      </c>
      <c r="AA5" s="1959" t="s">
        <v>525</v>
      </c>
      <c r="AB5" s="377" t="s">
        <v>45</v>
      </c>
      <c r="AC5" s="1959" t="s">
        <v>525</v>
      </c>
      <c r="AD5" s="377" t="s">
        <v>76</v>
      </c>
      <c r="AE5" s="1959" t="s">
        <v>525</v>
      </c>
      <c r="AF5" s="377" t="s">
        <v>77</v>
      </c>
      <c r="AG5" s="1957" t="s">
        <v>525</v>
      </c>
    </row>
    <row r="6" spans="1:33" ht="13.5" thickBot="1">
      <c r="A6" s="233"/>
      <c r="B6" s="1961" t="s">
        <v>524</v>
      </c>
      <c r="C6" s="1962"/>
      <c r="D6" s="1582">
        <f>AVERAGE(D33:D42)</f>
        <v>0</v>
      </c>
      <c r="E6" s="1960"/>
      <c r="F6" s="1583">
        <f>AVERAGE(F33:F42)</f>
        <v>0.49345679012345689</v>
      </c>
      <c r="G6" s="1960"/>
      <c r="H6" s="1583">
        <f>AVERAGE(H33:H42)</f>
        <v>1.6866666666666668</v>
      </c>
      <c r="I6" s="1960"/>
      <c r="J6" s="1584">
        <f>AVERAGE(J33:J42)</f>
        <v>1.2951111111111111</v>
      </c>
      <c r="K6" s="1966"/>
      <c r="M6" s="1963" t="s">
        <v>524</v>
      </c>
      <c r="N6" s="1964"/>
      <c r="O6" s="1582">
        <f>AVERAGE(O33:O42)</f>
        <v>0</v>
      </c>
      <c r="P6" s="1960"/>
      <c r="Q6" s="1583">
        <f>AVERAGE(Q33:Q42)</f>
        <v>0.61728395061728403</v>
      </c>
      <c r="R6" s="1960"/>
      <c r="S6" s="1583">
        <f>AVERAGE(S33:S42)</f>
        <v>0</v>
      </c>
      <c r="T6" s="1960"/>
      <c r="U6" s="1584">
        <f>AVERAGE(U33:U42)</f>
        <v>0.55555555555555558</v>
      </c>
      <c r="V6" s="1958"/>
      <c r="X6" s="1963" t="s">
        <v>524</v>
      </c>
      <c r="Y6" s="1964"/>
      <c r="Z6" s="1582">
        <f>AVERAGE(Z33:Z42)</f>
        <v>0</v>
      </c>
      <c r="AA6" s="1960"/>
      <c r="AB6" s="1583">
        <f>AVERAGE(AB33:AB42)</f>
        <v>0.44444444444444448</v>
      </c>
      <c r="AC6" s="1960"/>
      <c r="AD6" s="1583">
        <f>AVERAGE(AD33:AD42)</f>
        <v>0.34811111111111115</v>
      </c>
      <c r="AE6" s="1960"/>
      <c r="AF6" s="1584">
        <f>AVERAGE(AF33:AF42)</f>
        <v>2.2755555555555551</v>
      </c>
      <c r="AG6" s="1958"/>
    </row>
    <row r="7" spans="1:33" ht="13.5" hidden="1" thickBot="1">
      <c r="A7" s="233"/>
      <c r="B7" s="400" t="s">
        <v>81</v>
      </c>
      <c r="C7" s="401" t="s">
        <v>82</v>
      </c>
      <c r="D7" s="378">
        <v>0</v>
      </c>
      <c r="E7" s="1640"/>
      <c r="F7" s="379">
        <v>0</v>
      </c>
      <c r="G7" s="1640"/>
      <c r="H7" s="379">
        <v>1.6</v>
      </c>
      <c r="I7" s="1640"/>
      <c r="J7" s="379">
        <v>0</v>
      </c>
      <c r="K7" s="1645"/>
      <c r="M7" s="381" t="s">
        <v>81</v>
      </c>
      <c r="N7" s="284" t="s">
        <v>82</v>
      </c>
      <c r="O7" s="382">
        <v>0</v>
      </c>
      <c r="P7" s="1640"/>
      <c r="Q7" s="383">
        <v>0</v>
      </c>
      <c r="R7" s="1640"/>
      <c r="S7" s="383">
        <v>0</v>
      </c>
      <c r="T7" s="1640"/>
      <c r="U7" s="383">
        <v>0</v>
      </c>
      <c r="V7" s="1654"/>
      <c r="X7" s="381" t="s">
        <v>81</v>
      </c>
      <c r="Y7" s="284" t="s">
        <v>82</v>
      </c>
      <c r="Z7" s="382">
        <v>0</v>
      </c>
      <c r="AA7" s="1640"/>
      <c r="AB7" s="383">
        <v>0</v>
      </c>
      <c r="AC7" s="1640"/>
      <c r="AD7" s="383">
        <v>0</v>
      </c>
      <c r="AE7" s="1640"/>
      <c r="AF7" s="383">
        <v>0</v>
      </c>
      <c r="AG7" s="1654"/>
    </row>
    <row r="8" spans="1:33" ht="13.5" hidden="1" thickBot="1">
      <c r="A8" s="233"/>
      <c r="B8" s="400" t="s">
        <v>83</v>
      </c>
      <c r="C8" s="401" t="s">
        <v>84</v>
      </c>
      <c r="D8" s="378">
        <v>0</v>
      </c>
      <c r="E8" s="1640"/>
      <c r="F8" s="379">
        <v>0</v>
      </c>
      <c r="G8" s="1640"/>
      <c r="H8" s="379">
        <v>28.2</v>
      </c>
      <c r="I8" s="1640"/>
      <c r="J8" s="379">
        <v>0</v>
      </c>
      <c r="K8" s="380"/>
      <c r="M8" s="381" t="s">
        <v>83</v>
      </c>
      <c r="N8" s="284" t="s">
        <v>84</v>
      </c>
      <c r="O8" s="384">
        <v>0</v>
      </c>
      <c r="P8" s="1640"/>
      <c r="Q8" s="385">
        <v>0</v>
      </c>
      <c r="R8" s="1640"/>
      <c r="S8" s="385">
        <v>0</v>
      </c>
      <c r="T8" s="1640"/>
      <c r="U8" s="385">
        <v>0</v>
      </c>
      <c r="V8" s="1655"/>
      <c r="X8" s="381" t="s">
        <v>83</v>
      </c>
      <c r="Y8" s="284" t="s">
        <v>84</v>
      </c>
      <c r="Z8" s="384">
        <v>0</v>
      </c>
      <c r="AA8" s="1640"/>
      <c r="AB8" s="385">
        <v>0</v>
      </c>
      <c r="AC8" s="1640"/>
      <c r="AD8" s="385">
        <v>0</v>
      </c>
      <c r="AE8" s="1640"/>
      <c r="AF8" s="385">
        <v>0</v>
      </c>
      <c r="AG8" s="1655"/>
    </row>
    <row r="9" spans="1:33" ht="13.5" hidden="1" thickBot="1">
      <c r="A9" s="233"/>
      <c r="B9" s="400" t="s">
        <v>85</v>
      </c>
      <c r="C9" s="401" t="s">
        <v>86</v>
      </c>
      <c r="D9" s="378">
        <v>0</v>
      </c>
      <c r="E9" s="1640"/>
      <c r="F9" s="379">
        <v>18</v>
      </c>
      <c r="G9" s="1640"/>
      <c r="H9" s="379">
        <v>23.2</v>
      </c>
      <c r="I9" s="1640"/>
      <c r="J9" s="379">
        <v>11.2</v>
      </c>
      <c r="K9" s="380"/>
      <c r="M9" s="381" t="s">
        <v>85</v>
      </c>
      <c r="N9" s="284" t="s">
        <v>86</v>
      </c>
      <c r="O9" s="384">
        <v>0</v>
      </c>
      <c r="P9" s="1640"/>
      <c r="Q9" s="385">
        <v>0</v>
      </c>
      <c r="R9" s="1640"/>
      <c r="S9" s="385">
        <v>0</v>
      </c>
      <c r="T9" s="1640"/>
      <c r="U9" s="385">
        <v>0</v>
      </c>
      <c r="V9" s="1655"/>
      <c r="X9" s="381" t="s">
        <v>85</v>
      </c>
      <c r="Y9" s="284" t="s">
        <v>86</v>
      </c>
      <c r="Z9" s="384">
        <v>0</v>
      </c>
      <c r="AA9" s="1640"/>
      <c r="AB9" s="385">
        <v>0</v>
      </c>
      <c r="AC9" s="1640"/>
      <c r="AD9" s="385">
        <v>0</v>
      </c>
      <c r="AE9" s="1640"/>
      <c r="AF9" s="385">
        <v>0</v>
      </c>
      <c r="AG9" s="1655"/>
    </row>
    <row r="10" spans="1:33" ht="13.5" hidden="1" thickBot="1">
      <c r="A10" s="233"/>
      <c r="B10" s="400" t="s">
        <v>87</v>
      </c>
      <c r="C10" s="401" t="s">
        <v>88</v>
      </c>
      <c r="D10" s="378">
        <v>0</v>
      </c>
      <c r="E10" s="1640"/>
      <c r="F10" s="379">
        <v>21.7</v>
      </c>
      <c r="G10" s="1640"/>
      <c r="H10" s="379">
        <v>0.7</v>
      </c>
      <c r="I10" s="1640"/>
      <c r="J10" s="379">
        <v>8.8000000000000007</v>
      </c>
      <c r="K10" s="380"/>
      <c r="M10" s="381" t="s">
        <v>87</v>
      </c>
      <c r="N10" s="284" t="s">
        <v>88</v>
      </c>
      <c r="O10" s="384">
        <v>0</v>
      </c>
      <c r="P10" s="1640"/>
      <c r="Q10" s="385">
        <v>0</v>
      </c>
      <c r="R10" s="1640"/>
      <c r="S10" s="385">
        <v>0</v>
      </c>
      <c r="T10" s="1640"/>
      <c r="U10" s="385">
        <v>0</v>
      </c>
      <c r="V10" s="1655"/>
      <c r="X10" s="381" t="s">
        <v>87</v>
      </c>
      <c r="Y10" s="284" t="s">
        <v>88</v>
      </c>
      <c r="Z10" s="384">
        <v>0</v>
      </c>
      <c r="AA10" s="1640"/>
      <c r="AB10" s="385">
        <v>0</v>
      </c>
      <c r="AC10" s="1640"/>
      <c r="AD10" s="385">
        <v>0</v>
      </c>
      <c r="AE10" s="1640"/>
      <c r="AF10" s="385">
        <v>0</v>
      </c>
      <c r="AG10" s="1655"/>
    </row>
    <row r="11" spans="1:33" ht="13.5" hidden="1" thickBot="1">
      <c r="A11" s="233"/>
      <c r="B11" s="400" t="s">
        <v>89</v>
      </c>
      <c r="C11" s="401" t="s">
        <v>90</v>
      </c>
      <c r="D11" s="378">
        <v>0</v>
      </c>
      <c r="E11" s="1640"/>
      <c r="F11" s="379">
        <v>20.3</v>
      </c>
      <c r="G11" s="1640"/>
      <c r="H11" s="379">
        <v>37.9</v>
      </c>
      <c r="I11" s="1640"/>
      <c r="J11" s="379">
        <v>130.1</v>
      </c>
      <c r="K11" s="380"/>
      <c r="M11" s="381" t="s">
        <v>89</v>
      </c>
      <c r="N11" s="284" t="s">
        <v>90</v>
      </c>
      <c r="O11" s="384">
        <v>0</v>
      </c>
      <c r="P11" s="1640"/>
      <c r="Q11" s="385">
        <v>0</v>
      </c>
      <c r="R11" s="1640"/>
      <c r="S11" s="385">
        <v>0</v>
      </c>
      <c r="T11" s="1640"/>
      <c r="U11" s="385">
        <v>0</v>
      </c>
      <c r="V11" s="1655"/>
      <c r="X11" s="381" t="s">
        <v>89</v>
      </c>
      <c r="Y11" s="284" t="s">
        <v>90</v>
      </c>
      <c r="Z11" s="384">
        <v>0</v>
      </c>
      <c r="AA11" s="1640"/>
      <c r="AB11" s="385">
        <v>0</v>
      </c>
      <c r="AC11" s="1640"/>
      <c r="AD11" s="385">
        <v>0</v>
      </c>
      <c r="AE11" s="1640"/>
      <c r="AF11" s="385">
        <v>0</v>
      </c>
      <c r="AG11" s="1655"/>
    </row>
    <row r="12" spans="1:33" ht="13.5" hidden="1" thickBot="1">
      <c r="A12" s="233"/>
      <c r="B12" s="400" t="s">
        <v>91</v>
      </c>
      <c r="C12" s="401" t="s">
        <v>92</v>
      </c>
      <c r="D12" s="378">
        <v>0</v>
      </c>
      <c r="E12" s="1640"/>
      <c r="F12" s="379">
        <v>7.8</v>
      </c>
      <c r="G12" s="1640"/>
      <c r="H12" s="379">
        <v>18</v>
      </c>
      <c r="I12" s="1640"/>
      <c r="J12" s="379">
        <v>0</v>
      </c>
      <c r="K12" s="380"/>
      <c r="M12" s="381" t="s">
        <v>91</v>
      </c>
      <c r="N12" s="284" t="s">
        <v>92</v>
      </c>
      <c r="O12" s="384">
        <v>0</v>
      </c>
      <c r="P12" s="1640"/>
      <c r="Q12" s="385">
        <v>0.4</v>
      </c>
      <c r="R12" s="1640"/>
      <c r="S12" s="385">
        <v>0</v>
      </c>
      <c r="T12" s="1640"/>
      <c r="U12" s="385">
        <v>0</v>
      </c>
      <c r="V12" s="1655"/>
      <c r="X12" s="381" t="s">
        <v>91</v>
      </c>
      <c r="Y12" s="284" t="s">
        <v>92</v>
      </c>
      <c r="Z12" s="384">
        <v>0</v>
      </c>
      <c r="AA12" s="1640"/>
      <c r="AB12" s="385">
        <v>0</v>
      </c>
      <c r="AC12" s="1640"/>
      <c r="AD12" s="385">
        <v>3</v>
      </c>
      <c r="AE12" s="1640"/>
      <c r="AF12" s="385">
        <v>0</v>
      </c>
      <c r="AG12" s="1655"/>
    </row>
    <row r="13" spans="1:33" ht="13.5" hidden="1" thickBot="1">
      <c r="A13" s="233"/>
      <c r="B13" s="400" t="s">
        <v>93</v>
      </c>
      <c r="C13" s="401" t="s">
        <v>94</v>
      </c>
      <c r="D13" s="378">
        <v>0</v>
      </c>
      <c r="E13" s="1640"/>
      <c r="F13" s="379">
        <v>30.2</v>
      </c>
      <c r="G13" s="1640"/>
      <c r="H13" s="379">
        <v>45.2</v>
      </c>
      <c r="I13" s="1640"/>
      <c r="J13" s="379">
        <v>3.5</v>
      </c>
      <c r="K13" s="380"/>
      <c r="M13" s="381" t="s">
        <v>93</v>
      </c>
      <c r="N13" s="284" t="s">
        <v>94</v>
      </c>
      <c r="O13" s="384">
        <v>0</v>
      </c>
      <c r="P13" s="1640"/>
      <c r="Q13" s="385">
        <v>0</v>
      </c>
      <c r="R13" s="1640"/>
      <c r="S13" s="385">
        <v>0.8</v>
      </c>
      <c r="T13" s="1640"/>
      <c r="U13" s="385">
        <v>0.1</v>
      </c>
      <c r="V13" s="1655"/>
      <c r="X13" s="381" t="s">
        <v>93</v>
      </c>
      <c r="Y13" s="284" t="s">
        <v>94</v>
      </c>
      <c r="Z13" s="384">
        <v>0</v>
      </c>
      <c r="AA13" s="1640"/>
      <c r="AB13" s="385">
        <v>0</v>
      </c>
      <c r="AC13" s="1640"/>
      <c r="AD13" s="385">
        <v>0</v>
      </c>
      <c r="AE13" s="1640"/>
      <c r="AF13" s="385">
        <v>0</v>
      </c>
      <c r="AG13" s="1655"/>
    </row>
    <row r="14" spans="1:33" ht="13.5" hidden="1" thickBot="1">
      <c r="A14" s="233"/>
      <c r="B14" s="400" t="s">
        <v>95</v>
      </c>
      <c r="C14" s="401" t="s">
        <v>96</v>
      </c>
      <c r="D14" s="378">
        <v>0</v>
      </c>
      <c r="E14" s="1640"/>
      <c r="F14" s="379">
        <v>7.3</v>
      </c>
      <c r="G14" s="1640"/>
      <c r="H14" s="379">
        <v>0</v>
      </c>
      <c r="I14" s="1640"/>
      <c r="J14" s="379">
        <v>0</v>
      </c>
      <c r="K14" s="380"/>
      <c r="M14" s="381" t="s">
        <v>95</v>
      </c>
      <c r="N14" s="284" t="s">
        <v>96</v>
      </c>
      <c r="O14" s="384">
        <v>0</v>
      </c>
      <c r="P14" s="1640"/>
      <c r="Q14" s="385">
        <v>0</v>
      </c>
      <c r="R14" s="1640"/>
      <c r="S14" s="385">
        <v>0</v>
      </c>
      <c r="T14" s="1640"/>
      <c r="U14" s="385">
        <v>0</v>
      </c>
      <c r="V14" s="1655"/>
      <c r="X14" s="381" t="s">
        <v>95</v>
      </c>
      <c r="Y14" s="284" t="s">
        <v>96</v>
      </c>
      <c r="Z14" s="384">
        <v>0</v>
      </c>
      <c r="AA14" s="1640"/>
      <c r="AB14" s="385">
        <v>0</v>
      </c>
      <c r="AC14" s="1640"/>
      <c r="AD14" s="385">
        <v>0.2</v>
      </c>
      <c r="AE14" s="1640"/>
      <c r="AF14" s="385">
        <v>0</v>
      </c>
      <c r="AG14" s="1655"/>
    </row>
    <row r="15" spans="1:33" ht="13.5" hidden="1" thickBot="1">
      <c r="A15" s="233"/>
      <c r="B15" s="400" t="s">
        <v>97</v>
      </c>
      <c r="C15" s="401" t="s">
        <v>98</v>
      </c>
      <c r="D15" s="378">
        <v>0</v>
      </c>
      <c r="E15" s="1640"/>
      <c r="F15" s="379">
        <v>35.4</v>
      </c>
      <c r="G15" s="1640"/>
      <c r="H15" s="379">
        <v>0</v>
      </c>
      <c r="I15" s="1640"/>
      <c r="J15" s="379">
        <v>0</v>
      </c>
      <c r="K15" s="380"/>
      <c r="M15" s="381" t="s">
        <v>97</v>
      </c>
      <c r="N15" s="284" t="s">
        <v>98</v>
      </c>
      <c r="O15" s="384">
        <v>0</v>
      </c>
      <c r="P15" s="1640"/>
      <c r="Q15" s="385">
        <v>0</v>
      </c>
      <c r="R15" s="1640"/>
      <c r="S15" s="385">
        <v>0</v>
      </c>
      <c r="T15" s="1640"/>
      <c r="U15" s="385">
        <v>0</v>
      </c>
      <c r="V15" s="1655"/>
      <c r="X15" s="381" t="s">
        <v>97</v>
      </c>
      <c r="Y15" s="284" t="s">
        <v>98</v>
      </c>
      <c r="Z15" s="384">
        <v>0</v>
      </c>
      <c r="AA15" s="1640"/>
      <c r="AB15" s="385">
        <v>0</v>
      </c>
      <c r="AC15" s="1640"/>
      <c r="AD15" s="385">
        <v>0</v>
      </c>
      <c r="AE15" s="1640"/>
      <c r="AF15" s="385">
        <v>0</v>
      </c>
      <c r="AG15" s="1655"/>
    </row>
    <row r="16" spans="1:33" ht="13.5" hidden="1" thickBot="1">
      <c r="A16" s="233"/>
      <c r="B16" s="400" t="s">
        <v>99</v>
      </c>
      <c r="C16" s="401" t="s">
        <v>100</v>
      </c>
      <c r="D16" s="378">
        <v>0</v>
      </c>
      <c r="E16" s="1640"/>
      <c r="F16" s="379">
        <v>6.5</v>
      </c>
      <c r="G16" s="1640"/>
      <c r="H16" s="379">
        <v>0.02</v>
      </c>
      <c r="I16" s="1640"/>
      <c r="J16" s="379">
        <v>0.06</v>
      </c>
      <c r="K16" s="380"/>
      <c r="M16" s="381" t="s">
        <v>99</v>
      </c>
      <c r="N16" s="284" t="s">
        <v>100</v>
      </c>
      <c r="O16" s="384">
        <v>0</v>
      </c>
      <c r="P16" s="1640"/>
      <c r="Q16" s="385">
        <v>0</v>
      </c>
      <c r="R16" s="1640"/>
      <c r="S16" s="385">
        <v>0</v>
      </c>
      <c r="T16" s="1640"/>
      <c r="U16" s="385">
        <v>0</v>
      </c>
      <c r="V16" s="1655"/>
      <c r="X16" s="381" t="s">
        <v>99</v>
      </c>
      <c r="Y16" s="284" t="s">
        <v>100</v>
      </c>
      <c r="Z16" s="384">
        <v>0</v>
      </c>
      <c r="AA16" s="1640"/>
      <c r="AB16" s="385">
        <v>0.17</v>
      </c>
      <c r="AC16" s="1640"/>
      <c r="AD16" s="385">
        <v>0.02</v>
      </c>
      <c r="AE16" s="1640"/>
      <c r="AF16" s="385">
        <v>0.02</v>
      </c>
      <c r="AG16" s="1655"/>
    </row>
    <row r="17" spans="1:33" ht="13.5" hidden="1" thickBot="1">
      <c r="A17" s="233"/>
      <c r="B17" s="400" t="s">
        <v>101</v>
      </c>
      <c r="C17" s="401" t="s">
        <v>102</v>
      </c>
      <c r="D17" s="378">
        <v>0</v>
      </c>
      <c r="E17" s="1640"/>
      <c r="F17" s="379">
        <v>4</v>
      </c>
      <c r="G17" s="1640"/>
      <c r="H17" s="379">
        <v>19.399999999999999</v>
      </c>
      <c r="I17" s="1640"/>
      <c r="J17" s="379">
        <v>4.3</v>
      </c>
      <c r="K17" s="380"/>
      <c r="M17" s="381" t="s">
        <v>101</v>
      </c>
      <c r="N17" s="284" t="s">
        <v>102</v>
      </c>
      <c r="O17" s="384">
        <v>0</v>
      </c>
      <c r="P17" s="1640"/>
      <c r="Q17" s="385">
        <v>0</v>
      </c>
      <c r="R17" s="1640"/>
      <c r="S17" s="385">
        <v>0.1</v>
      </c>
      <c r="T17" s="1640"/>
      <c r="U17" s="385">
        <v>0</v>
      </c>
      <c r="V17" s="1655"/>
      <c r="X17" s="381" t="s">
        <v>101</v>
      </c>
      <c r="Y17" s="284" t="s">
        <v>102</v>
      </c>
      <c r="Z17" s="384">
        <v>0</v>
      </c>
      <c r="AA17" s="1640"/>
      <c r="AB17" s="385">
        <v>0.2</v>
      </c>
      <c r="AC17" s="1640"/>
      <c r="AD17" s="385">
        <v>0.4</v>
      </c>
      <c r="AE17" s="1640"/>
      <c r="AF17" s="385">
        <v>0</v>
      </c>
      <c r="AG17" s="1655"/>
    </row>
    <row r="18" spans="1:33" ht="13.5" hidden="1" thickBot="1">
      <c r="A18" s="233"/>
      <c r="B18" s="400" t="s">
        <v>103</v>
      </c>
      <c r="C18" s="401" t="s">
        <v>104</v>
      </c>
      <c r="D18" s="378">
        <v>3.9</v>
      </c>
      <c r="E18" s="1640"/>
      <c r="F18" s="379">
        <v>4.8</v>
      </c>
      <c r="G18" s="1640"/>
      <c r="H18" s="379">
        <v>11.2</v>
      </c>
      <c r="I18" s="1640"/>
      <c r="J18" s="379">
        <v>16</v>
      </c>
      <c r="K18" s="380"/>
      <c r="M18" s="381" t="s">
        <v>103</v>
      </c>
      <c r="N18" s="284" t="s">
        <v>104</v>
      </c>
      <c r="O18" s="384">
        <v>0.02</v>
      </c>
      <c r="P18" s="1640"/>
      <c r="Q18" s="385">
        <v>0.28999999999999998</v>
      </c>
      <c r="R18" s="1640"/>
      <c r="S18" s="385">
        <v>0</v>
      </c>
      <c r="T18" s="1640"/>
      <c r="U18" s="385">
        <v>0</v>
      </c>
      <c r="V18" s="1655"/>
      <c r="X18" s="381" t="s">
        <v>103</v>
      </c>
      <c r="Y18" s="284" t="s">
        <v>104</v>
      </c>
      <c r="Z18" s="384">
        <v>0</v>
      </c>
      <c r="AA18" s="1640"/>
      <c r="AB18" s="385">
        <v>0</v>
      </c>
      <c r="AC18" s="1640"/>
      <c r="AD18" s="385">
        <v>0.8</v>
      </c>
      <c r="AE18" s="1640"/>
      <c r="AF18" s="385">
        <v>0</v>
      </c>
      <c r="AG18" s="1655"/>
    </row>
    <row r="19" spans="1:33" ht="13.5" hidden="1" thickBot="1">
      <c r="A19" s="233"/>
      <c r="B19" s="400" t="s">
        <v>105</v>
      </c>
      <c r="C19" s="401" t="s">
        <v>106</v>
      </c>
      <c r="D19" s="378">
        <v>0</v>
      </c>
      <c r="E19" s="1640"/>
      <c r="F19" s="379">
        <v>0.82</v>
      </c>
      <c r="G19" s="1640"/>
      <c r="H19" s="379">
        <v>10.69</v>
      </c>
      <c r="I19" s="1640"/>
      <c r="J19" s="379">
        <v>48</v>
      </c>
      <c r="K19" s="380"/>
      <c r="M19" s="381" t="s">
        <v>105</v>
      </c>
      <c r="N19" s="284" t="s">
        <v>106</v>
      </c>
      <c r="O19" s="384">
        <v>0</v>
      </c>
      <c r="P19" s="1640"/>
      <c r="Q19" s="385">
        <v>0.05</v>
      </c>
      <c r="R19" s="1640"/>
      <c r="S19" s="385">
        <v>0</v>
      </c>
      <c r="T19" s="1640"/>
      <c r="U19" s="385">
        <v>0.04</v>
      </c>
      <c r="V19" s="1655"/>
      <c r="X19" s="381" t="s">
        <v>105</v>
      </c>
      <c r="Y19" s="284" t="s">
        <v>106</v>
      </c>
      <c r="Z19" s="384">
        <v>0</v>
      </c>
      <c r="AA19" s="1640"/>
      <c r="AB19" s="385">
        <v>0.17</v>
      </c>
      <c r="AC19" s="1640"/>
      <c r="AD19" s="385">
        <v>1.51</v>
      </c>
      <c r="AE19" s="1640"/>
      <c r="AF19" s="385">
        <v>0</v>
      </c>
      <c r="AG19" s="1655"/>
    </row>
    <row r="20" spans="1:33" ht="13.5" hidden="1" thickBot="1">
      <c r="A20" s="233"/>
      <c r="B20" s="400" t="s">
        <v>107</v>
      </c>
      <c r="C20" s="401" t="s">
        <v>108</v>
      </c>
      <c r="D20" s="378">
        <v>0</v>
      </c>
      <c r="E20" s="1640"/>
      <c r="F20" s="379">
        <v>4.5</v>
      </c>
      <c r="G20" s="1640"/>
      <c r="H20" s="379">
        <v>0.9</v>
      </c>
      <c r="I20" s="1640"/>
      <c r="J20" s="379">
        <v>4.5</v>
      </c>
      <c r="K20" s="380"/>
      <c r="M20" s="381" t="s">
        <v>107</v>
      </c>
      <c r="N20" s="284" t="s">
        <v>108</v>
      </c>
      <c r="O20" s="384">
        <v>0</v>
      </c>
      <c r="P20" s="1640"/>
      <c r="Q20" s="385">
        <v>0</v>
      </c>
      <c r="R20" s="1640"/>
      <c r="S20" s="385">
        <v>0</v>
      </c>
      <c r="T20" s="1640"/>
      <c r="U20" s="385">
        <v>0</v>
      </c>
      <c r="V20" s="1655"/>
      <c r="X20" s="381" t="s">
        <v>107</v>
      </c>
      <c r="Y20" s="284" t="s">
        <v>108</v>
      </c>
      <c r="Z20" s="384">
        <v>0</v>
      </c>
      <c r="AA20" s="1640"/>
      <c r="AB20" s="385">
        <v>0</v>
      </c>
      <c r="AC20" s="1640"/>
      <c r="AD20" s="385">
        <v>0.67</v>
      </c>
      <c r="AE20" s="1640"/>
      <c r="AF20" s="385">
        <v>0</v>
      </c>
      <c r="AG20" s="1655"/>
    </row>
    <row r="21" spans="1:33" ht="13.5" hidden="1" thickBot="1">
      <c r="A21" s="233"/>
      <c r="B21" s="1036" t="s">
        <v>109</v>
      </c>
      <c r="C21" s="229" t="s">
        <v>110</v>
      </c>
      <c r="D21" s="378">
        <v>0</v>
      </c>
      <c r="E21" s="1640"/>
      <c r="F21" s="379">
        <v>8</v>
      </c>
      <c r="G21" s="1640"/>
      <c r="H21" s="379">
        <v>0.6</v>
      </c>
      <c r="I21" s="1640"/>
      <c r="J21" s="379">
        <v>9.6999999999999993</v>
      </c>
      <c r="K21" s="380"/>
      <c r="L21" s="386"/>
      <c r="M21" s="1039" t="s">
        <v>109</v>
      </c>
      <c r="N21" s="374" t="s">
        <v>110</v>
      </c>
      <c r="O21" s="384">
        <v>0</v>
      </c>
      <c r="P21" s="1640"/>
      <c r="Q21" s="385">
        <v>0</v>
      </c>
      <c r="R21" s="1640"/>
      <c r="S21" s="385">
        <v>0</v>
      </c>
      <c r="T21" s="1640"/>
      <c r="U21" s="385">
        <v>0</v>
      </c>
      <c r="V21" s="1655"/>
      <c r="X21" s="1039" t="s">
        <v>109</v>
      </c>
      <c r="Y21" s="374" t="s">
        <v>110</v>
      </c>
      <c r="Z21" s="384">
        <v>0</v>
      </c>
      <c r="AA21" s="1640"/>
      <c r="AB21" s="385">
        <v>0</v>
      </c>
      <c r="AC21" s="1640"/>
      <c r="AD21" s="385">
        <v>1</v>
      </c>
      <c r="AE21" s="1640"/>
      <c r="AF21" s="385">
        <v>0.02</v>
      </c>
      <c r="AG21" s="1655"/>
    </row>
    <row r="22" spans="1:33">
      <c r="A22" s="233"/>
      <c r="B22" s="1037" t="s">
        <v>483</v>
      </c>
      <c r="C22" s="1038" t="s">
        <v>507</v>
      </c>
      <c r="D22" s="378">
        <v>0</v>
      </c>
      <c r="E22" s="1646"/>
      <c r="F22" s="379">
        <v>0.1</v>
      </c>
      <c r="G22" s="1646"/>
      <c r="H22" s="379">
        <v>0</v>
      </c>
      <c r="I22" s="1646"/>
      <c r="J22" s="379">
        <v>0.8</v>
      </c>
      <c r="K22" s="1650"/>
      <c r="L22" s="386"/>
      <c r="M22" s="1037" t="s">
        <v>483</v>
      </c>
      <c r="N22" s="1038" t="s">
        <v>507</v>
      </c>
      <c r="O22" s="384">
        <v>0</v>
      </c>
      <c r="P22" s="1646"/>
      <c r="Q22" s="385">
        <v>0</v>
      </c>
      <c r="R22" s="1646"/>
      <c r="S22" s="385">
        <v>0</v>
      </c>
      <c r="T22" s="1646"/>
      <c r="U22" s="385">
        <v>0</v>
      </c>
      <c r="V22" s="1656"/>
      <c r="X22" s="1037" t="s">
        <v>483</v>
      </c>
      <c r="Y22" s="1038" t="s">
        <v>507</v>
      </c>
      <c r="Z22" s="384">
        <v>0</v>
      </c>
      <c r="AA22" s="1646"/>
      <c r="AB22" s="385">
        <v>0.1</v>
      </c>
      <c r="AC22" s="1646"/>
      <c r="AD22" s="385">
        <v>0.5</v>
      </c>
      <c r="AE22" s="1646"/>
      <c r="AF22" s="385">
        <v>0.02</v>
      </c>
      <c r="AG22" s="1656"/>
    </row>
    <row r="23" spans="1:33">
      <c r="A23" s="233"/>
      <c r="B23" s="400" t="s">
        <v>492</v>
      </c>
      <c r="C23" s="401" t="s">
        <v>508</v>
      </c>
      <c r="D23" s="378">
        <v>0</v>
      </c>
      <c r="E23" s="1646"/>
      <c r="F23" s="379">
        <v>1.6</v>
      </c>
      <c r="G23" s="1646"/>
      <c r="H23" s="379">
        <v>11.3</v>
      </c>
      <c r="I23" s="1646"/>
      <c r="J23" s="379">
        <v>1.9</v>
      </c>
      <c r="K23" s="1650"/>
      <c r="L23" s="386"/>
      <c r="M23" s="400" t="s">
        <v>492</v>
      </c>
      <c r="N23" s="401" t="s">
        <v>508</v>
      </c>
      <c r="O23" s="384">
        <v>0</v>
      </c>
      <c r="P23" s="1646"/>
      <c r="Q23" s="385">
        <v>0.12</v>
      </c>
      <c r="R23" s="1646"/>
      <c r="S23" s="385">
        <v>0</v>
      </c>
      <c r="T23" s="1646"/>
      <c r="U23" s="385">
        <v>0</v>
      </c>
      <c r="V23" s="1656"/>
      <c r="X23" s="400" t="s">
        <v>492</v>
      </c>
      <c r="Y23" s="401" t="s">
        <v>508</v>
      </c>
      <c r="Z23" s="384">
        <v>0</v>
      </c>
      <c r="AA23" s="1646"/>
      <c r="AB23" s="385">
        <v>0</v>
      </c>
      <c r="AC23" s="1646"/>
      <c r="AD23" s="385">
        <v>1.3</v>
      </c>
      <c r="AE23" s="1646"/>
      <c r="AF23" s="385">
        <v>0</v>
      </c>
      <c r="AG23" s="1656"/>
    </row>
    <row r="24" spans="1:33">
      <c r="A24" s="233"/>
      <c r="B24" s="400" t="s">
        <v>493</v>
      </c>
      <c r="C24" s="401" t="s">
        <v>509</v>
      </c>
      <c r="D24" s="387">
        <v>0</v>
      </c>
      <c r="E24" s="1647"/>
      <c r="F24" s="388">
        <v>0.4</v>
      </c>
      <c r="G24" s="1647"/>
      <c r="H24" s="388">
        <v>0.6</v>
      </c>
      <c r="I24" s="1647"/>
      <c r="J24" s="388">
        <v>2.8</v>
      </c>
      <c r="K24" s="1651"/>
      <c r="L24" s="386"/>
      <c r="M24" s="400" t="s">
        <v>493</v>
      </c>
      <c r="N24" s="401" t="s">
        <v>509</v>
      </c>
      <c r="O24" s="389">
        <v>0</v>
      </c>
      <c r="P24" s="1647"/>
      <c r="Q24" s="390">
        <v>0</v>
      </c>
      <c r="R24" s="1647"/>
      <c r="S24" s="390">
        <v>0</v>
      </c>
      <c r="T24" s="1647"/>
      <c r="U24" s="390">
        <v>0</v>
      </c>
      <c r="V24" s="1657"/>
      <c r="X24" s="400" t="s">
        <v>493</v>
      </c>
      <c r="Y24" s="401" t="s">
        <v>509</v>
      </c>
      <c r="Z24" s="389">
        <v>0</v>
      </c>
      <c r="AA24" s="1647"/>
      <c r="AB24" s="390">
        <v>0</v>
      </c>
      <c r="AC24" s="1647"/>
      <c r="AD24" s="390">
        <v>0.4</v>
      </c>
      <c r="AE24" s="1647"/>
      <c r="AF24" s="390">
        <v>0</v>
      </c>
      <c r="AG24" s="1657"/>
    </row>
    <row r="25" spans="1:33">
      <c r="A25" s="233"/>
      <c r="B25" s="400" t="s">
        <v>494</v>
      </c>
      <c r="C25" s="401" t="s">
        <v>510</v>
      </c>
      <c r="D25" s="387">
        <v>0</v>
      </c>
      <c r="E25" s="1647"/>
      <c r="F25" s="388">
        <v>0.4</v>
      </c>
      <c r="G25" s="1647"/>
      <c r="H25" s="388">
        <v>0.1</v>
      </c>
      <c r="I25" s="1647"/>
      <c r="J25" s="388">
        <v>0</v>
      </c>
      <c r="K25" s="1651"/>
      <c r="L25" s="1644"/>
      <c r="M25" s="400" t="s">
        <v>494</v>
      </c>
      <c r="N25" s="401" t="s">
        <v>510</v>
      </c>
      <c r="O25" s="389">
        <v>0</v>
      </c>
      <c r="P25" s="1647"/>
      <c r="Q25" s="390">
        <v>0</v>
      </c>
      <c r="R25" s="1647"/>
      <c r="S25" s="390">
        <v>0</v>
      </c>
      <c r="T25" s="1647"/>
      <c r="U25" s="390">
        <v>0</v>
      </c>
      <c r="V25" s="1657"/>
      <c r="X25" s="400" t="s">
        <v>494</v>
      </c>
      <c r="Y25" s="401" t="s">
        <v>510</v>
      </c>
      <c r="Z25" s="389">
        <v>0</v>
      </c>
      <c r="AA25" s="1647"/>
      <c r="AB25" s="390">
        <v>0</v>
      </c>
      <c r="AC25" s="1647"/>
      <c r="AD25" s="390">
        <v>0.6</v>
      </c>
      <c r="AE25" s="1647"/>
      <c r="AF25" s="390">
        <v>0</v>
      </c>
      <c r="AG25" s="1657"/>
    </row>
    <row r="26" spans="1:33">
      <c r="A26" s="233"/>
      <c r="B26" s="400" t="s">
        <v>495</v>
      </c>
      <c r="C26" s="401" t="s">
        <v>511</v>
      </c>
      <c r="D26" s="387">
        <v>0</v>
      </c>
      <c r="E26" s="1647"/>
      <c r="F26" s="388">
        <v>3.8</v>
      </c>
      <c r="G26" s="1647"/>
      <c r="H26" s="388">
        <v>0</v>
      </c>
      <c r="I26" s="1647"/>
      <c r="J26" s="388">
        <v>0.1</v>
      </c>
      <c r="K26" s="1651"/>
      <c r="L26" s="1644"/>
      <c r="M26" s="400" t="s">
        <v>495</v>
      </c>
      <c r="N26" s="401" t="s">
        <v>511</v>
      </c>
      <c r="O26" s="389">
        <v>0</v>
      </c>
      <c r="P26" s="1647"/>
      <c r="Q26" s="390">
        <v>0.1</v>
      </c>
      <c r="R26" s="1647"/>
      <c r="S26" s="390">
        <v>0</v>
      </c>
      <c r="T26" s="1647"/>
      <c r="U26" s="390">
        <v>0</v>
      </c>
      <c r="V26" s="1657"/>
      <c r="X26" s="400" t="s">
        <v>495</v>
      </c>
      <c r="Y26" s="401" t="s">
        <v>511</v>
      </c>
      <c r="Z26" s="389">
        <v>0</v>
      </c>
      <c r="AA26" s="1647"/>
      <c r="AB26" s="390">
        <v>0</v>
      </c>
      <c r="AC26" s="1647"/>
      <c r="AD26" s="390">
        <v>0.2</v>
      </c>
      <c r="AE26" s="1647"/>
      <c r="AF26" s="390">
        <v>0</v>
      </c>
      <c r="AG26" s="1657"/>
    </row>
    <row r="27" spans="1:33">
      <c r="A27" s="233"/>
      <c r="B27" s="400" t="s">
        <v>496</v>
      </c>
      <c r="C27" s="401" t="s">
        <v>512</v>
      </c>
      <c r="D27" s="387">
        <v>0</v>
      </c>
      <c r="E27" s="1647"/>
      <c r="F27" s="388">
        <v>0.2</v>
      </c>
      <c r="G27" s="1647"/>
      <c r="H27" s="388">
        <v>0.1</v>
      </c>
      <c r="I27" s="1647"/>
      <c r="J27" s="388">
        <v>0.2</v>
      </c>
      <c r="K27" s="1651"/>
      <c r="L27" s="1641"/>
      <c r="M27" s="400" t="s">
        <v>496</v>
      </c>
      <c r="N27" s="401" t="s">
        <v>512</v>
      </c>
      <c r="O27" s="389">
        <v>0</v>
      </c>
      <c r="P27" s="1647"/>
      <c r="Q27" s="390">
        <v>0</v>
      </c>
      <c r="R27" s="1647"/>
      <c r="S27" s="390">
        <v>0</v>
      </c>
      <c r="T27" s="1647"/>
      <c r="U27" s="390">
        <v>0</v>
      </c>
      <c r="V27" s="1657"/>
      <c r="X27" s="400" t="s">
        <v>496</v>
      </c>
      <c r="Y27" s="401" t="s">
        <v>512</v>
      </c>
      <c r="Z27" s="389">
        <v>0</v>
      </c>
      <c r="AA27" s="1647"/>
      <c r="AB27" s="390">
        <v>0</v>
      </c>
      <c r="AC27" s="1647"/>
      <c r="AD27" s="390">
        <v>0.4</v>
      </c>
      <c r="AE27" s="1647"/>
      <c r="AF27" s="390">
        <v>0.01</v>
      </c>
      <c r="AG27" s="1657"/>
    </row>
    <row r="28" spans="1:33">
      <c r="A28" s="233"/>
      <c r="B28" s="400" t="s">
        <v>497</v>
      </c>
      <c r="C28" s="401" t="s">
        <v>513</v>
      </c>
      <c r="D28" s="387">
        <v>0</v>
      </c>
      <c r="E28" s="1647"/>
      <c r="F28" s="388">
        <v>0.1</v>
      </c>
      <c r="G28" s="1647"/>
      <c r="H28" s="388">
        <v>0.5</v>
      </c>
      <c r="I28" s="1647"/>
      <c r="J28" s="388">
        <v>0</v>
      </c>
      <c r="K28" s="1651"/>
      <c r="L28" s="386"/>
      <c r="M28" s="400" t="s">
        <v>497</v>
      </c>
      <c r="N28" s="401" t="s">
        <v>513</v>
      </c>
      <c r="O28" s="389">
        <v>0</v>
      </c>
      <c r="P28" s="1647"/>
      <c r="Q28" s="390">
        <v>0</v>
      </c>
      <c r="R28" s="1647"/>
      <c r="S28" s="390">
        <v>0</v>
      </c>
      <c r="T28" s="1647"/>
      <c r="U28" s="390">
        <v>0</v>
      </c>
      <c r="V28" s="1657"/>
      <c r="X28" s="400" t="s">
        <v>497</v>
      </c>
      <c r="Y28" s="401" t="s">
        <v>513</v>
      </c>
      <c r="Z28" s="389">
        <v>0</v>
      </c>
      <c r="AA28" s="1647"/>
      <c r="AB28" s="390">
        <v>0</v>
      </c>
      <c r="AC28" s="1647"/>
      <c r="AD28" s="390">
        <v>0.3</v>
      </c>
      <c r="AE28" s="1647"/>
      <c r="AF28" s="390">
        <v>0</v>
      </c>
      <c r="AG28" s="1657"/>
    </row>
    <row r="29" spans="1:33">
      <c r="A29" s="233"/>
      <c r="B29" s="400" t="s">
        <v>498</v>
      </c>
      <c r="C29" s="401" t="s">
        <v>514</v>
      </c>
      <c r="D29" s="387">
        <v>0</v>
      </c>
      <c r="E29" s="1647"/>
      <c r="F29" s="388">
        <f>1/10</f>
        <v>0.1</v>
      </c>
      <c r="G29" s="1647"/>
      <c r="H29" s="388">
        <v>0.33333333333333331</v>
      </c>
      <c r="I29" s="1647"/>
      <c r="J29" s="388">
        <v>0.1</v>
      </c>
      <c r="K29" s="1651"/>
      <c r="L29" s="386"/>
      <c r="M29" s="400" t="s">
        <v>498</v>
      </c>
      <c r="N29" s="401" t="s">
        <v>514</v>
      </c>
      <c r="O29" s="389">
        <v>0</v>
      </c>
      <c r="P29" s="1647"/>
      <c r="Q29" s="390">
        <v>0</v>
      </c>
      <c r="R29" s="1647"/>
      <c r="S29" s="390">
        <v>0</v>
      </c>
      <c r="T29" s="1647"/>
      <c r="U29" s="390">
        <v>0</v>
      </c>
      <c r="V29" s="1657"/>
      <c r="X29" s="400" t="s">
        <v>498</v>
      </c>
      <c r="Y29" s="401" t="s">
        <v>514</v>
      </c>
      <c r="Z29" s="389">
        <v>0</v>
      </c>
      <c r="AA29" s="1647"/>
      <c r="AB29" s="390">
        <v>0</v>
      </c>
      <c r="AC29" s="1647"/>
      <c r="AD29" s="390">
        <v>0.1</v>
      </c>
      <c r="AE29" s="1647"/>
      <c r="AF29" s="390">
        <v>0</v>
      </c>
      <c r="AG29" s="1657"/>
    </row>
    <row r="30" spans="1:33">
      <c r="A30" s="233"/>
      <c r="B30" s="400" t="s">
        <v>488</v>
      </c>
      <c r="C30" s="401" t="s">
        <v>515</v>
      </c>
      <c r="D30" s="391">
        <v>0</v>
      </c>
      <c r="E30" s="1648"/>
      <c r="F30" s="392">
        <v>0.5</v>
      </c>
      <c r="G30" s="1648"/>
      <c r="H30" s="392">
        <v>0.01</v>
      </c>
      <c r="I30" s="1648"/>
      <c r="J30" s="392">
        <v>0.1</v>
      </c>
      <c r="K30" s="1652"/>
      <c r="L30" s="386"/>
      <c r="M30" s="400" t="s">
        <v>488</v>
      </c>
      <c r="N30" s="401" t="s">
        <v>515</v>
      </c>
      <c r="O30" s="393">
        <v>0</v>
      </c>
      <c r="P30" s="1648"/>
      <c r="Q30" s="394">
        <v>0.01</v>
      </c>
      <c r="R30" s="1648"/>
      <c r="S30" s="394">
        <v>0</v>
      </c>
      <c r="T30" s="1648"/>
      <c r="U30" s="394">
        <v>0</v>
      </c>
      <c r="V30" s="1658"/>
      <c r="X30" s="400" t="s">
        <v>488</v>
      </c>
      <c r="Y30" s="401" t="s">
        <v>515</v>
      </c>
      <c r="Z30" s="393">
        <v>0</v>
      </c>
      <c r="AA30" s="1648"/>
      <c r="AB30" s="394">
        <v>0</v>
      </c>
      <c r="AC30" s="1648"/>
      <c r="AD30" s="394">
        <v>0.1</v>
      </c>
      <c r="AE30" s="1648"/>
      <c r="AF30" s="394">
        <v>0.01</v>
      </c>
      <c r="AG30" s="1658"/>
    </row>
    <row r="31" spans="1:33">
      <c r="A31" s="233"/>
      <c r="B31" s="400" t="s">
        <v>489</v>
      </c>
      <c r="C31" s="401" t="s">
        <v>516</v>
      </c>
      <c r="D31" s="395">
        <v>0</v>
      </c>
      <c r="E31" s="1647"/>
      <c r="F31" s="396" t="s">
        <v>121</v>
      </c>
      <c r="G31" s="1647"/>
      <c r="H31" s="396" t="s">
        <v>121</v>
      </c>
      <c r="I31" s="1647"/>
      <c r="J31" s="390" t="s">
        <v>121</v>
      </c>
      <c r="K31" s="1651"/>
      <c r="L31" s="386"/>
      <c r="M31" s="400" t="s">
        <v>489</v>
      </c>
      <c r="N31" s="401" t="s">
        <v>516</v>
      </c>
      <c r="O31" s="395">
        <v>0</v>
      </c>
      <c r="P31" s="1647"/>
      <c r="Q31" s="396" t="s">
        <v>121</v>
      </c>
      <c r="R31" s="1647"/>
      <c r="S31" s="396" t="s">
        <v>121</v>
      </c>
      <c r="T31" s="1647"/>
      <c r="U31" s="396" t="s">
        <v>121</v>
      </c>
      <c r="V31" s="1657"/>
      <c r="X31" s="400" t="s">
        <v>489</v>
      </c>
      <c r="Y31" s="401" t="s">
        <v>516</v>
      </c>
      <c r="Z31" s="395">
        <v>0</v>
      </c>
      <c r="AA31" s="1647"/>
      <c r="AB31" s="396" t="s">
        <v>121</v>
      </c>
      <c r="AC31" s="1647"/>
      <c r="AD31" s="396" t="s">
        <v>121</v>
      </c>
      <c r="AE31" s="1647"/>
      <c r="AF31" s="396" t="s">
        <v>121</v>
      </c>
      <c r="AG31" s="1657"/>
    </row>
    <row r="32" spans="1:33">
      <c r="A32" s="233"/>
      <c r="B32" s="400" t="s">
        <v>490</v>
      </c>
      <c r="C32" s="401" t="s">
        <v>517</v>
      </c>
      <c r="D32" s="395">
        <v>0</v>
      </c>
      <c r="E32" s="1647"/>
      <c r="F32" s="390">
        <v>0</v>
      </c>
      <c r="G32" s="1647"/>
      <c r="H32" s="390">
        <v>0.1</v>
      </c>
      <c r="I32" s="1647"/>
      <c r="J32" s="388">
        <v>0.9</v>
      </c>
      <c r="K32" s="1651"/>
      <c r="L32" s="386"/>
      <c r="M32" s="400" t="s">
        <v>490</v>
      </c>
      <c r="N32" s="401" t="s">
        <v>517</v>
      </c>
      <c r="O32" s="395">
        <v>0</v>
      </c>
      <c r="P32" s="1647"/>
      <c r="Q32" s="390">
        <v>0</v>
      </c>
      <c r="R32" s="1647"/>
      <c r="S32" s="390">
        <v>0</v>
      </c>
      <c r="T32" s="1647"/>
      <c r="U32" s="390">
        <v>0</v>
      </c>
      <c r="V32" s="1657"/>
      <c r="X32" s="400" t="s">
        <v>490</v>
      </c>
      <c r="Y32" s="401" t="s">
        <v>517</v>
      </c>
      <c r="Z32" s="395">
        <v>0</v>
      </c>
      <c r="AA32" s="1647"/>
      <c r="AB32" s="390">
        <v>0</v>
      </c>
      <c r="AC32" s="1647"/>
      <c r="AD32" s="390">
        <v>0.1</v>
      </c>
      <c r="AE32" s="1647"/>
      <c r="AF32" s="390">
        <v>0</v>
      </c>
      <c r="AG32" s="1657"/>
    </row>
    <row r="33" spans="1:33">
      <c r="A33" s="233"/>
      <c r="B33" s="400" t="s">
        <v>499</v>
      </c>
      <c r="C33" s="401" t="s">
        <v>518</v>
      </c>
      <c r="D33" s="395">
        <v>0</v>
      </c>
      <c r="E33" s="1647"/>
      <c r="F33" s="397">
        <v>0.1</v>
      </c>
      <c r="G33" s="1647"/>
      <c r="H33" s="390">
        <v>2</v>
      </c>
      <c r="I33" s="1647"/>
      <c r="J33" s="390">
        <v>0.3</v>
      </c>
      <c r="K33" s="1651"/>
      <c r="M33" s="400" t="s">
        <v>499</v>
      </c>
      <c r="N33" s="401" t="s">
        <v>518</v>
      </c>
      <c r="O33" s="395">
        <v>0</v>
      </c>
      <c r="P33" s="1647"/>
      <c r="Q33" s="390">
        <v>0</v>
      </c>
      <c r="R33" s="1647"/>
      <c r="S33" s="390">
        <v>0</v>
      </c>
      <c r="T33" s="1647"/>
      <c r="U33" s="390">
        <v>0</v>
      </c>
      <c r="V33" s="1657"/>
      <c r="X33" s="400" t="s">
        <v>499</v>
      </c>
      <c r="Y33" s="401" t="s">
        <v>518</v>
      </c>
      <c r="Z33" s="395">
        <v>0</v>
      </c>
      <c r="AA33" s="1647"/>
      <c r="AB33" s="390">
        <v>0</v>
      </c>
      <c r="AC33" s="1647"/>
      <c r="AD33" s="390">
        <v>0.5</v>
      </c>
      <c r="AE33" s="1647"/>
      <c r="AF33" s="390">
        <v>0</v>
      </c>
      <c r="AG33" s="1657"/>
    </row>
    <row r="34" spans="1:33">
      <c r="A34" s="233"/>
      <c r="B34" s="400" t="s">
        <v>500</v>
      </c>
      <c r="C34" s="401" t="s">
        <v>519</v>
      </c>
      <c r="D34" s="395">
        <v>0</v>
      </c>
      <c r="E34" s="1647"/>
      <c r="F34" s="390">
        <v>0</v>
      </c>
      <c r="G34" s="1647"/>
      <c r="H34" s="390">
        <v>6.2</v>
      </c>
      <c r="I34" s="1647"/>
      <c r="J34" s="1172">
        <v>0.8</v>
      </c>
      <c r="K34" s="1651"/>
      <c r="M34" s="400" t="s">
        <v>500</v>
      </c>
      <c r="N34" s="401" t="s">
        <v>519</v>
      </c>
      <c r="O34" s="395">
        <v>0</v>
      </c>
      <c r="P34" s="1647"/>
      <c r="Q34" s="390">
        <v>0</v>
      </c>
      <c r="R34" s="1647"/>
      <c r="S34" s="390">
        <v>0</v>
      </c>
      <c r="T34" s="1647"/>
      <c r="U34" s="1172">
        <v>0</v>
      </c>
      <c r="V34" s="1657"/>
      <c r="X34" s="400" t="s">
        <v>500</v>
      </c>
      <c r="Y34" s="401" t="s">
        <v>519</v>
      </c>
      <c r="Z34" s="395">
        <v>0</v>
      </c>
      <c r="AA34" s="1647"/>
      <c r="AB34" s="390">
        <v>0</v>
      </c>
      <c r="AC34" s="1647"/>
      <c r="AD34" s="390">
        <v>0.8</v>
      </c>
      <c r="AE34" s="1647"/>
      <c r="AF34" s="1172">
        <v>0</v>
      </c>
      <c r="AG34" s="1657"/>
    </row>
    <row r="35" spans="1:33">
      <c r="A35" s="233"/>
      <c r="B35" s="400" t="s">
        <v>501</v>
      </c>
      <c r="C35" s="401" t="s">
        <v>520</v>
      </c>
      <c r="D35" s="395">
        <v>0</v>
      </c>
      <c r="E35" s="1647"/>
      <c r="F35" s="390">
        <v>0</v>
      </c>
      <c r="G35" s="1647"/>
      <c r="H35" s="390">
        <v>2</v>
      </c>
      <c r="I35" s="1647"/>
      <c r="J35" s="1172">
        <v>0.47</v>
      </c>
      <c r="K35" s="1651"/>
      <c r="M35" s="400" t="s">
        <v>501</v>
      </c>
      <c r="N35" s="401" t="s">
        <v>520</v>
      </c>
      <c r="O35" s="395">
        <v>0</v>
      </c>
      <c r="P35" s="1647"/>
      <c r="Q35" s="390">
        <v>0</v>
      </c>
      <c r="R35" s="1647"/>
      <c r="S35" s="390">
        <v>0</v>
      </c>
      <c r="T35" s="1647"/>
      <c r="U35" s="1172">
        <v>0</v>
      </c>
      <c r="V35" s="1657"/>
      <c r="X35" s="400" t="s">
        <v>501</v>
      </c>
      <c r="Y35" s="401" t="s">
        <v>520</v>
      </c>
      <c r="Z35" s="395">
        <v>0</v>
      </c>
      <c r="AA35" s="1647"/>
      <c r="AB35" s="390">
        <v>0</v>
      </c>
      <c r="AC35" s="1647"/>
      <c r="AD35" s="390">
        <v>0.67</v>
      </c>
      <c r="AE35" s="1647"/>
      <c r="AF35" s="1172">
        <v>0</v>
      </c>
      <c r="AG35" s="1657"/>
    </row>
    <row r="36" spans="1:33">
      <c r="A36" s="233"/>
      <c r="B36" s="400" t="s">
        <v>502</v>
      </c>
      <c r="C36" s="401" t="s">
        <v>521</v>
      </c>
      <c r="D36" s="395">
        <v>0</v>
      </c>
      <c r="E36" s="1647"/>
      <c r="F36" s="390">
        <f>1/(0.3*0.3*9)</f>
        <v>1.2345679012345681</v>
      </c>
      <c r="G36" s="1647"/>
      <c r="H36" s="390">
        <f>3/(0.3*0.3*10)</f>
        <v>3.3333333333333335</v>
      </c>
      <c r="I36" s="1647"/>
      <c r="J36" s="390">
        <v>6.67</v>
      </c>
      <c r="K36" s="1651"/>
      <c r="M36" s="400" t="s">
        <v>502</v>
      </c>
      <c r="N36" s="401" t="s">
        <v>521</v>
      </c>
      <c r="O36" s="395">
        <v>0</v>
      </c>
      <c r="P36" s="1647"/>
      <c r="Q36" s="390">
        <f>5/(0.3*0.3*9)</f>
        <v>6.1728395061728403</v>
      </c>
      <c r="R36" s="1647"/>
      <c r="S36" s="390">
        <v>0</v>
      </c>
      <c r="T36" s="1647"/>
      <c r="U36" s="390">
        <v>0</v>
      </c>
      <c r="V36" s="1657"/>
      <c r="X36" s="400" t="s">
        <v>502</v>
      </c>
      <c r="Y36" s="401" t="s">
        <v>521</v>
      </c>
      <c r="Z36" s="395">
        <v>0</v>
      </c>
      <c r="AA36" s="1647"/>
      <c r="AB36" s="390">
        <v>0</v>
      </c>
      <c r="AC36" s="1647"/>
      <c r="AD36" s="390">
        <v>0</v>
      </c>
      <c r="AE36" s="1647"/>
      <c r="AF36" s="390">
        <v>15.6</v>
      </c>
      <c r="AG36" s="1657"/>
    </row>
    <row r="37" spans="1:33">
      <c r="A37" s="233"/>
      <c r="B37" s="400" t="s">
        <v>503</v>
      </c>
      <c r="C37" s="401" t="s">
        <v>522</v>
      </c>
      <c r="D37" s="395">
        <v>0</v>
      </c>
      <c r="E37" s="1647"/>
      <c r="F37" s="390">
        <v>0</v>
      </c>
      <c r="G37" s="1647"/>
      <c r="H37" s="390">
        <v>0</v>
      </c>
      <c r="I37" s="1647"/>
      <c r="J37" s="390">
        <v>1.6</v>
      </c>
      <c r="K37" s="1651"/>
      <c r="M37" s="400" t="s">
        <v>503</v>
      </c>
      <c r="N37" s="401" t="s">
        <v>522</v>
      </c>
      <c r="O37" s="395">
        <v>0</v>
      </c>
      <c r="P37" s="1647"/>
      <c r="Q37" s="390">
        <v>0</v>
      </c>
      <c r="R37" s="1647"/>
      <c r="S37" s="390">
        <v>0</v>
      </c>
      <c r="T37" s="1647"/>
      <c r="U37" s="390">
        <v>0</v>
      </c>
      <c r="V37" s="1657"/>
      <c r="X37" s="400" t="s">
        <v>503</v>
      </c>
      <c r="Y37" s="401" t="s">
        <v>522</v>
      </c>
      <c r="Z37" s="395">
        <v>0</v>
      </c>
      <c r="AA37" s="1647"/>
      <c r="AB37" s="390">
        <v>0</v>
      </c>
      <c r="AC37" s="1647"/>
      <c r="AD37" s="390">
        <v>0</v>
      </c>
      <c r="AE37" s="1647"/>
      <c r="AF37" s="390">
        <v>0</v>
      </c>
      <c r="AG37" s="1657"/>
    </row>
    <row r="38" spans="1:33">
      <c r="A38" s="233"/>
      <c r="B38" s="400" t="s">
        <v>504</v>
      </c>
      <c r="C38" s="401" t="s">
        <v>523</v>
      </c>
      <c r="D38" s="395">
        <v>0</v>
      </c>
      <c r="E38" s="1647"/>
      <c r="F38" s="390">
        <v>3.2</v>
      </c>
      <c r="G38" s="1647"/>
      <c r="H38" s="390">
        <v>0</v>
      </c>
      <c r="I38" s="1647"/>
      <c r="J38" s="1172">
        <v>0</v>
      </c>
      <c r="K38" s="1651"/>
      <c r="M38" s="400" t="s">
        <v>504</v>
      </c>
      <c r="N38" s="401" t="s">
        <v>523</v>
      </c>
      <c r="O38" s="395">
        <v>0</v>
      </c>
      <c r="P38" s="1647"/>
      <c r="Q38" s="390">
        <v>0</v>
      </c>
      <c r="R38" s="1647"/>
      <c r="S38" s="390">
        <v>0</v>
      </c>
      <c r="T38" s="1647"/>
      <c r="U38" s="1172">
        <v>0</v>
      </c>
      <c r="V38" s="1657"/>
      <c r="X38" s="400" t="s">
        <v>504</v>
      </c>
      <c r="Y38" s="401" t="s">
        <v>523</v>
      </c>
      <c r="Z38" s="395">
        <v>0</v>
      </c>
      <c r="AA38" s="1647"/>
      <c r="AB38" s="390">
        <v>0</v>
      </c>
      <c r="AC38" s="1647"/>
      <c r="AD38" s="390">
        <v>0</v>
      </c>
      <c r="AE38" s="1647"/>
      <c r="AF38" s="1172">
        <v>0</v>
      </c>
      <c r="AG38" s="1657"/>
    </row>
    <row r="39" spans="1:33">
      <c r="A39" s="233"/>
      <c r="B39" s="400" t="s">
        <v>505</v>
      </c>
      <c r="C39" s="401" t="s">
        <v>506</v>
      </c>
      <c r="D39" s="395">
        <v>0</v>
      </c>
      <c r="E39" s="1647"/>
      <c r="F39" s="390">
        <v>0</v>
      </c>
      <c r="G39" s="1647"/>
      <c r="H39" s="390">
        <v>0</v>
      </c>
      <c r="I39" s="1647"/>
      <c r="J39" s="1643">
        <v>0</v>
      </c>
      <c r="K39" s="1651"/>
      <c r="M39" s="400" t="s">
        <v>505</v>
      </c>
      <c r="N39" s="401" t="s">
        <v>506</v>
      </c>
      <c r="O39" s="395">
        <v>0</v>
      </c>
      <c r="P39" s="1647"/>
      <c r="Q39" s="390">
        <v>0</v>
      </c>
      <c r="R39" s="1647"/>
      <c r="S39" s="390">
        <v>0</v>
      </c>
      <c r="T39" s="1647"/>
      <c r="U39" s="1643">
        <v>0</v>
      </c>
      <c r="V39" s="1657"/>
      <c r="X39" s="400" t="s">
        <v>505</v>
      </c>
      <c r="Y39" s="401" t="s">
        <v>506</v>
      </c>
      <c r="Z39" s="395">
        <v>0</v>
      </c>
      <c r="AA39" s="1647"/>
      <c r="AB39" s="390">
        <v>0</v>
      </c>
      <c r="AC39" s="1647"/>
      <c r="AD39" s="390">
        <v>0</v>
      </c>
      <c r="AE39" s="1647"/>
      <c r="AF39" s="1172">
        <v>0</v>
      </c>
      <c r="AG39" s="1657"/>
    </row>
    <row r="40" spans="1:33">
      <c r="A40" s="233"/>
      <c r="B40" s="400" t="s">
        <v>484</v>
      </c>
      <c r="C40" s="401" t="s">
        <v>325</v>
      </c>
      <c r="D40" s="395">
        <v>0</v>
      </c>
      <c r="E40" s="1647"/>
      <c r="F40" s="390">
        <v>0.4</v>
      </c>
      <c r="G40" s="1647"/>
      <c r="H40" s="390">
        <v>0</v>
      </c>
      <c r="I40" s="1647"/>
      <c r="J40" s="1643">
        <v>2</v>
      </c>
      <c r="K40" s="1651"/>
      <c r="M40" s="400" t="s">
        <v>484</v>
      </c>
      <c r="N40" s="401" t="s">
        <v>325</v>
      </c>
      <c r="O40" s="395">
        <v>0</v>
      </c>
      <c r="P40" s="1647"/>
      <c r="Q40" s="390">
        <v>0</v>
      </c>
      <c r="R40" s="1647"/>
      <c r="S40" s="390">
        <v>0</v>
      </c>
      <c r="T40" s="1647"/>
      <c r="U40" s="1172">
        <v>0</v>
      </c>
      <c r="V40" s="1657"/>
      <c r="X40" s="400" t="s">
        <v>484</v>
      </c>
      <c r="Y40" s="401" t="s">
        <v>325</v>
      </c>
      <c r="Z40" s="395">
        <v>0</v>
      </c>
      <c r="AA40" s="1647"/>
      <c r="AB40" s="390">
        <v>0</v>
      </c>
      <c r="AC40" s="1647"/>
      <c r="AD40" s="1172">
        <v>0.4</v>
      </c>
      <c r="AE40" s="1647"/>
      <c r="AF40" s="1172">
        <v>1.6</v>
      </c>
      <c r="AG40" s="1657"/>
    </row>
    <row r="41" spans="1:33">
      <c r="A41" s="233"/>
      <c r="B41" s="400" t="s">
        <v>491</v>
      </c>
      <c r="C41" s="401" t="s">
        <v>329</v>
      </c>
      <c r="D41" s="395">
        <v>0</v>
      </c>
      <c r="E41" s="1647">
        <v>44317</v>
      </c>
      <c r="F41" s="390">
        <v>0</v>
      </c>
      <c r="G41" s="1647">
        <v>44371</v>
      </c>
      <c r="H41" s="390">
        <f>10000*3/(30*30*10)</f>
        <v>3.3333333333333335</v>
      </c>
      <c r="I41" s="1647">
        <v>44440</v>
      </c>
      <c r="J41" s="1172">
        <f>10000*1/(30*30*10)</f>
        <v>1.1111111111111112</v>
      </c>
      <c r="K41" s="1651">
        <v>44480</v>
      </c>
      <c r="M41" s="400" t="s">
        <v>491</v>
      </c>
      <c r="N41" s="401" t="s">
        <v>329</v>
      </c>
      <c r="O41" s="395">
        <v>0</v>
      </c>
      <c r="P41" s="1647">
        <v>44317</v>
      </c>
      <c r="Q41" s="390">
        <v>0</v>
      </c>
      <c r="R41" s="1647">
        <v>44371</v>
      </c>
      <c r="S41" s="390">
        <v>0</v>
      </c>
      <c r="T41" s="1647">
        <v>44440</v>
      </c>
      <c r="U41" s="1172">
        <f>10000*5/(30*30*10)</f>
        <v>5.5555555555555554</v>
      </c>
      <c r="V41" s="1657">
        <v>44480</v>
      </c>
      <c r="X41" s="400" t="s">
        <v>491</v>
      </c>
      <c r="Y41" s="401" t="s">
        <v>329</v>
      </c>
      <c r="Z41" s="395">
        <v>0</v>
      </c>
      <c r="AA41" s="1647">
        <v>44317</v>
      </c>
      <c r="AB41" s="1172">
        <f>10000*4/(30*30*10)</f>
        <v>4.4444444444444446</v>
      </c>
      <c r="AC41" s="1647">
        <v>44371</v>
      </c>
      <c r="AD41" s="1172">
        <f>10000*1/(30*30*10)</f>
        <v>1.1111111111111112</v>
      </c>
      <c r="AE41" s="1647">
        <v>44440</v>
      </c>
      <c r="AF41" s="1172">
        <f>10000*5/(30*30*10)</f>
        <v>5.5555555555555554</v>
      </c>
      <c r="AG41" s="1657">
        <v>44480</v>
      </c>
    </row>
    <row r="42" spans="1:33">
      <c r="A42" s="233"/>
      <c r="B42" s="400" t="s">
        <v>485</v>
      </c>
      <c r="C42" s="401" t="s">
        <v>330</v>
      </c>
      <c r="D42" s="395">
        <v>0</v>
      </c>
      <c r="E42" s="1647">
        <v>44677</v>
      </c>
      <c r="F42" s="390">
        <v>0</v>
      </c>
      <c r="G42" s="1647">
        <v>44730</v>
      </c>
      <c r="H42" s="390">
        <v>0</v>
      </c>
      <c r="I42" s="1647">
        <v>44798</v>
      </c>
      <c r="J42" s="1172">
        <v>0</v>
      </c>
      <c r="K42" s="1651">
        <v>44830</v>
      </c>
      <c r="M42" s="400" t="s">
        <v>485</v>
      </c>
      <c r="N42" s="401" t="s">
        <v>330</v>
      </c>
      <c r="O42" s="395">
        <v>0</v>
      </c>
      <c r="P42" s="1647">
        <v>44677</v>
      </c>
      <c r="Q42" s="390">
        <v>0</v>
      </c>
      <c r="R42" s="1647">
        <v>44730</v>
      </c>
      <c r="S42" s="390">
        <v>0</v>
      </c>
      <c r="T42" s="1647">
        <v>44798</v>
      </c>
      <c r="U42" s="1172">
        <v>0</v>
      </c>
      <c r="V42" s="1657">
        <v>44830</v>
      </c>
      <c r="X42" s="400" t="s">
        <v>485</v>
      </c>
      <c r="Y42" s="401" t="s">
        <v>330</v>
      </c>
      <c r="Z42" s="395">
        <v>0</v>
      </c>
      <c r="AA42" s="1647">
        <v>44677</v>
      </c>
      <c r="AB42" s="390">
        <v>0</v>
      </c>
      <c r="AC42" s="1647">
        <v>44730</v>
      </c>
      <c r="AD42" s="390">
        <v>0</v>
      </c>
      <c r="AE42" s="1647">
        <v>44798</v>
      </c>
      <c r="AF42" s="1172">
        <v>0</v>
      </c>
      <c r="AG42" s="1657">
        <v>44830</v>
      </c>
    </row>
    <row r="43" spans="1:33">
      <c r="A43" s="233"/>
      <c r="B43" s="400" t="s">
        <v>486</v>
      </c>
      <c r="C43" s="401" t="s">
        <v>331</v>
      </c>
      <c r="D43" s="395">
        <v>0</v>
      </c>
      <c r="E43" s="1647"/>
      <c r="F43" s="390">
        <v>0</v>
      </c>
      <c r="G43" s="1647">
        <v>45096</v>
      </c>
      <c r="H43" s="390"/>
      <c r="I43" s="1647"/>
      <c r="J43" s="396"/>
      <c r="K43" s="1651"/>
      <c r="M43" s="400" t="s">
        <v>486</v>
      </c>
      <c r="N43" s="401" t="s">
        <v>331</v>
      </c>
      <c r="O43" s="395">
        <v>0</v>
      </c>
      <c r="P43" s="1647"/>
      <c r="Q43" s="390">
        <v>0</v>
      </c>
      <c r="R43" s="1647"/>
      <c r="S43" s="390"/>
      <c r="T43" s="1647"/>
      <c r="U43" s="396"/>
      <c r="V43" s="1657"/>
      <c r="X43" s="400" t="s">
        <v>486</v>
      </c>
      <c r="Y43" s="401" t="s">
        <v>331</v>
      </c>
      <c r="Z43" s="395">
        <v>0</v>
      </c>
      <c r="AA43" s="1647"/>
      <c r="AB43" s="390">
        <v>0</v>
      </c>
      <c r="AC43" s="1647"/>
      <c r="AD43" s="390"/>
      <c r="AE43" s="1647"/>
      <c r="AF43" s="396"/>
      <c r="AG43" s="1657"/>
    </row>
    <row r="44" spans="1:33" ht="13.5" thickBot="1">
      <c r="A44" s="233"/>
      <c r="B44" s="402" t="s">
        <v>487</v>
      </c>
      <c r="C44" s="226" t="s">
        <v>332</v>
      </c>
      <c r="D44" s="398"/>
      <c r="E44" s="1649"/>
      <c r="F44" s="399"/>
      <c r="G44" s="1649"/>
      <c r="H44" s="399"/>
      <c r="I44" s="1649"/>
      <c r="J44" s="399"/>
      <c r="K44" s="1653"/>
      <c r="M44" s="402" t="s">
        <v>487</v>
      </c>
      <c r="N44" s="226" t="s">
        <v>332</v>
      </c>
      <c r="O44" s="398"/>
      <c r="P44" s="1649"/>
      <c r="Q44" s="399"/>
      <c r="R44" s="1649"/>
      <c r="S44" s="399"/>
      <c r="T44" s="1649"/>
      <c r="U44" s="399"/>
      <c r="V44" s="1659"/>
      <c r="X44" s="402" t="s">
        <v>487</v>
      </c>
      <c r="Y44" s="226" t="s">
        <v>332</v>
      </c>
      <c r="Z44" s="398"/>
      <c r="AA44" s="1649"/>
      <c r="AB44" s="399"/>
      <c r="AC44" s="1649"/>
      <c r="AD44" s="399"/>
      <c r="AE44" s="1649"/>
      <c r="AF44" s="399"/>
      <c r="AG44" s="1659"/>
    </row>
    <row r="45" spans="1:33">
      <c r="A45" s="233"/>
      <c r="B45" s="233"/>
      <c r="C45" s="233"/>
      <c r="D45" s="233"/>
      <c r="E45" s="233"/>
      <c r="F45" s="233"/>
      <c r="G45" s="233"/>
      <c r="H45" s="233"/>
      <c r="I45" s="233"/>
      <c r="J45" s="233"/>
      <c r="K45" s="233"/>
      <c r="V45" s="233"/>
    </row>
    <row r="46" spans="1:33">
      <c r="A46" s="233"/>
      <c r="B46" s="233"/>
      <c r="C46" s="1062" t="s">
        <v>334</v>
      </c>
      <c r="D46" s="233"/>
      <c r="E46" s="233"/>
      <c r="F46" s="854"/>
      <c r="G46" s="233"/>
      <c r="H46" s="854"/>
      <c r="I46" s="854"/>
      <c r="J46" s="854"/>
      <c r="K46" s="854"/>
      <c r="L46" s="854"/>
      <c r="M46" s="854"/>
      <c r="N46" s="854"/>
      <c r="O46" s="854"/>
      <c r="P46" s="854"/>
      <c r="Q46" s="854"/>
      <c r="R46" s="854"/>
      <c r="S46" s="854"/>
      <c r="T46" s="854"/>
      <c r="U46" s="854"/>
      <c r="V46" s="854"/>
      <c r="W46" s="854"/>
      <c r="X46" s="854"/>
      <c r="Y46" s="854"/>
      <c r="Z46" s="854"/>
      <c r="AA46" s="854"/>
      <c r="AB46" s="854"/>
      <c r="AC46" s="854"/>
      <c r="AD46" s="854"/>
      <c r="AE46" s="854"/>
      <c r="AF46" s="854"/>
    </row>
    <row r="47" spans="1:33">
      <c r="A47" s="233"/>
      <c r="B47" s="233"/>
      <c r="C47" s="1062" t="s">
        <v>339</v>
      </c>
      <c r="D47" s="233"/>
      <c r="E47" s="233"/>
      <c r="F47" s="853"/>
      <c r="G47" s="233"/>
      <c r="H47" s="854"/>
      <c r="I47" s="854"/>
      <c r="J47" s="854"/>
      <c r="K47" s="233"/>
      <c r="V47" s="233"/>
    </row>
    <row r="48" spans="1:33">
      <c r="A48" s="233"/>
      <c r="B48" s="233"/>
      <c r="C48" s="233"/>
      <c r="D48" s="233"/>
      <c r="E48" s="233"/>
      <c r="F48" s="233"/>
      <c r="G48" s="233"/>
      <c r="H48" s="233"/>
      <c r="I48" s="233"/>
      <c r="J48" s="233"/>
      <c r="K48" s="233"/>
      <c r="V48" s="233"/>
    </row>
    <row r="49" spans="1:22">
      <c r="A49" s="233"/>
      <c r="B49" s="233"/>
      <c r="C49" s="233" t="s">
        <v>340</v>
      </c>
      <c r="D49" s="233"/>
      <c r="E49" s="233"/>
      <c r="F49" s="233"/>
      <c r="G49" s="233"/>
      <c r="H49" s="233"/>
      <c r="I49" s="233"/>
      <c r="J49" s="233"/>
      <c r="K49" s="233"/>
      <c r="V49" s="233"/>
    </row>
    <row r="50" spans="1:22">
      <c r="A50" s="233"/>
      <c r="B50" s="233"/>
      <c r="C50" s="233"/>
      <c r="D50" s="233"/>
      <c r="E50" s="233"/>
      <c r="F50" s="233"/>
      <c r="G50" s="233"/>
      <c r="H50" s="233"/>
      <c r="I50" s="233"/>
      <c r="J50" s="233"/>
      <c r="K50" s="233"/>
      <c r="V50" s="233"/>
    </row>
    <row r="51" spans="1:22">
      <c r="A51" s="233"/>
    </row>
    <row r="52" spans="1:22" ht="6" customHeight="1">
      <c r="A52" s="233"/>
    </row>
    <row r="53" spans="1:22">
      <c r="A53" s="233"/>
    </row>
    <row r="54" spans="1:22">
      <c r="A54" s="233"/>
    </row>
    <row r="55" spans="1:22">
      <c r="A55" s="233"/>
    </row>
    <row r="56" spans="1:22">
      <c r="A56" s="233"/>
    </row>
    <row r="57" spans="1:22">
      <c r="A57" s="233"/>
    </row>
    <row r="58" spans="1:22">
      <c r="A58" s="233"/>
    </row>
    <row r="59" spans="1:22">
      <c r="A59" s="233"/>
    </row>
    <row r="60" spans="1:22">
      <c r="A60" s="233"/>
    </row>
    <row r="61" spans="1:22">
      <c r="A61" s="233"/>
    </row>
    <row r="62" spans="1:22">
      <c r="A62" s="233"/>
    </row>
    <row r="63" spans="1:22">
      <c r="A63" s="233"/>
    </row>
    <row r="64" spans="1:22">
      <c r="A64" s="233"/>
    </row>
    <row r="65" spans="1:1">
      <c r="A65" s="233"/>
    </row>
    <row r="66" spans="1:1">
      <c r="A66" s="233"/>
    </row>
    <row r="67" spans="1:1">
      <c r="A67" s="233"/>
    </row>
    <row r="68" spans="1:1">
      <c r="A68" s="233"/>
    </row>
    <row r="69" spans="1:1">
      <c r="A69" s="233"/>
    </row>
    <row r="70" spans="1:1">
      <c r="A70" s="233"/>
    </row>
    <row r="71" spans="1:1">
      <c r="A71" s="233"/>
    </row>
    <row r="72" spans="1:1">
      <c r="A72" s="233"/>
    </row>
    <row r="73" spans="1:1">
      <c r="A73" s="233"/>
    </row>
    <row r="74" spans="1:1">
      <c r="A74" s="233"/>
    </row>
    <row r="75" spans="1:1">
      <c r="A75" s="233"/>
    </row>
    <row r="76" spans="1:1">
      <c r="A76" s="233"/>
    </row>
    <row r="77" spans="1:1">
      <c r="A77" s="233"/>
    </row>
    <row r="78" spans="1:1">
      <c r="A78" s="233"/>
    </row>
    <row r="79" spans="1:1">
      <c r="A79" s="233"/>
    </row>
    <row r="80" spans="1:1">
      <c r="A80" s="233"/>
    </row>
    <row r="81" spans="1:22">
      <c r="A81" s="233"/>
    </row>
    <row r="82" spans="1:22">
      <c r="A82" s="233"/>
    </row>
    <row r="83" spans="1:22">
      <c r="A83" s="233"/>
    </row>
    <row r="84" spans="1:22">
      <c r="A84" s="233"/>
    </row>
    <row r="85" spans="1:22">
      <c r="A85" s="233"/>
    </row>
    <row r="86" spans="1:22">
      <c r="A86" s="233"/>
    </row>
    <row r="87" spans="1:22">
      <c r="A87" s="233"/>
    </row>
    <row r="88" spans="1:22">
      <c r="A88" s="233"/>
    </row>
    <row r="89" spans="1:22">
      <c r="A89" s="233"/>
    </row>
    <row r="90" spans="1:22">
      <c r="A90" s="233"/>
    </row>
    <row r="91" spans="1:22">
      <c r="A91" s="233"/>
    </row>
    <row r="92" spans="1:22">
      <c r="A92" s="233"/>
    </row>
    <row r="93" spans="1:22">
      <c r="A93" s="233"/>
    </row>
    <row r="94" spans="1:22">
      <c r="A94" s="233"/>
      <c r="B94" s="233"/>
      <c r="C94" s="233"/>
      <c r="D94" s="233"/>
      <c r="E94" s="233"/>
      <c r="F94" s="233"/>
      <c r="G94" s="233"/>
      <c r="H94" s="233"/>
      <c r="I94" s="233"/>
      <c r="J94" s="233"/>
      <c r="K94" s="233"/>
      <c r="V94" s="233"/>
    </row>
    <row r="95" spans="1:22">
      <c r="A95" s="233"/>
      <c r="B95" s="233"/>
      <c r="C95" s="233"/>
      <c r="D95" s="233"/>
      <c r="E95" s="233"/>
      <c r="F95" s="233"/>
      <c r="G95" s="233"/>
      <c r="H95" s="233"/>
      <c r="I95" s="233"/>
      <c r="J95" s="233"/>
      <c r="K95" s="233"/>
      <c r="V95" s="233"/>
    </row>
    <row r="96" spans="1:22">
      <c r="A96" s="233"/>
      <c r="B96" s="233"/>
      <c r="C96" s="233"/>
      <c r="D96" s="233"/>
      <c r="E96" s="233"/>
      <c r="F96" s="233"/>
      <c r="G96" s="233"/>
      <c r="H96" s="233"/>
      <c r="I96" s="233"/>
      <c r="J96" s="233"/>
      <c r="K96" s="233"/>
      <c r="V96" s="233"/>
    </row>
    <row r="97" spans="1:22">
      <c r="A97" s="233"/>
      <c r="B97" s="233"/>
      <c r="C97" s="233"/>
      <c r="D97" s="233"/>
      <c r="E97" s="233"/>
      <c r="F97" s="233"/>
      <c r="G97" s="233"/>
      <c r="H97" s="233"/>
      <c r="I97" s="233"/>
      <c r="J97" s="233"/>
      <c r="K97" s="233"/>
      <c r="V97" s="233"/>
    </row>
    <row r="98" spans="1:22">
      <c r="A98" s="233"/>
      <c r="B98" s="233"/>
      <c r="C98" s="233"/>
      <c r="D98" s="233"/>
      <c r="E98" s="233"/>
      <c r="F98" s="233"/>
      <c r="G98" s="233"/>
      <c r="H98" s="233"/>
      <c r="I98" s="233"/>
      <c r="J98" s="233"/>
      <c r="K98" s="233"/>
      <c r="V98" s="233"/>
    </row>
    <row r="99" spans="1:22">
      <c r="A99" s="233"/>
      <c r="B99" s="233"/>
      <c r="C99" s="233"/>
      <c r="D99" s="233"/>
      <c r="E99" s="233"/>
      <c r="F99" s="233"/>
      <c r="G99" s="233"/>
      <c r="H99" s="233"/>
      <c r="I99" s="233"/>
      <c r="J99" s="233"/>
      <c r="K99" s="233"/>
      <c r="V99" s="233"/>
    </row>
    <row r="100" spans="1:22">
      <c r="A100" s="233"/>
      <c r="B100" s="233"/>
      <c r="C100" s="233"/>
      <c r="D100" s="233"/>
      <c r="E100" s="233"/>
      <c r="F100" s="233"/>
      <c r="G100" s="233"/>
      <c r="H100" s="233"/>
      <c r="I100" s="233"/>
      <c r="J100" s="233"/>
      <c r="K100" s="233"/>
      <c r="V100" s="233"/>
    </row>
    <row r="101" spans="1:22">
      <c r="A101" s="233"/>
      <c r="B101" s="233"/>
      <c r="C101" s="233"/>
      <c r="D101" s="233"/>
      <c r="E101" s="233"/>
      <c r="F101" s="233"/>
      <c r="G101" s="233"/>
      <c r="H101" s="233"/>
      <c r="I101" s="233"/>
      <c r="J101" s="233"/>
      <c r="K101" s="233"/>
      <c r="V101" s="233"/>
    </row>
    <row r="102" spans="1:22">
      <c r="A102" s="233"/>
    </row>
    <row r="103" spans="1:22" ht="6" customHeight="1">
      <c r="A103" s="233"/>
    </row>
    <row r="104" spans="1:22">
      <c r="A104" s="233"/>
    </row>
    <row r="105" spans="1:22">
      <c r="A105" s="233"/>
    </row>
    <row r="106" spans="1:22">
      <c r="A106" s="233"/>
    </row>
    <row r="107" spans="1:22">
      <c r="A107" s="233"/>
    </row>
    <row r="108" spans="1:22">
      <c r="A108" s="233"/>
    </row>
    <row r="109" spans="1:22">
      <c r="A109" s="233"/>
    </row>
    <row r="110" spans="1:22">
      <c r="A110" s="233"/>
    </row>
    <row r="111" spans="1:22">
      <c r="A111" s="233"/>
    </row>
    <row r="112" spans="1:22">
      <c r="A112" s="233"/>
    </row>
    <row r="113" spans="1:1">
      <c r="A113" s="233"/>
    </row>
    <row r="114" spans="1:1">
      <c r="A114" s="233"/>
    </row>
    <row r="115" spans="1:1">
      <c r="A115" s="233"/>
    </row>
    <row r="116" spans="1:1">
      <c r="A116" s="233"/>
    </row>
    <row r="117" spans="1:1">
      <c r="A117" s="233"/>
    </row>
    <row r="118" spans="1:1">
      <c r="A118" s="233"/>
    </row>
    <row r="119" spans="1:1">
      <c r="A119" s="233"/>
    </row>
    <row r="120" spans="1:1">
      <c r="A120" s="233"/>
    </row>
    <row r="121" spans="1:1">
      <c r="A121" s="233"/>
    </row>
    <row r="122" spans="1:1">
      <c r="A122" s="233"/>
    </row>
    <row r="123" spans="1:1">
      <c r="A123" s="233"/>
    </row>
    <row r="124" spans="1:1">
      <c r="A124" s="233"/>
    </row>
    <row r="125" spans="1:1">
      <c r="A125" s="233"/>
    </row>
    <row r="126" spans="1:1">
      <c r="A126" s="233"/>
    </row>
    <row r="127" spans="1:1">
      <c r="A127" s="233"/>
    </row>
    <row r="128" spans="1:1">
      <c r="A128" s="233"/>
    </row>
    <row r="129" spans="1:1">
      <c r="A129" s="233"/>
    </row>
  </sheetData>
  <customSheetViews>
    <customSheetView guid="{BC749C3C-D733-4D37-8792-BBFA31845F93}" showRuler="0">
      <selection activeCell="E86" sqref="E86"/>
      <pageMargins left="0.75" right="0.75" top="1" bottom="1" header="0.51200000000000001" footer="0.51200000000000001"/>
      <headerFooter alignWithMargins="0"/>
    </customSheetView>
  </customSheetViews>
  <mergeCells count="16">
    <mergeCell ref="B2:AG2"/>
    <mergeCell ref="AG5:AG6"/>
    <mergeCell ref="AA5:AA6"/>
    <mergeCell ref="AC5:AC6"/>
    <mergeCell ref="AE5:AE6"/>
    <mergeCell ref="B6:C6"/>
    <mergeCell ref="M6:N6"/>
    <mergeCell ref="X6:Y6"/>
    <mergeCell ref="E5:E6"/>
    <mergeCell ref="G5:G6"/>
    <mergeCell ref="I5:I6"/>
    <mergeCell ref="K5:K6"/>
    <mergeCell ref="V5:V6"/>
    <mergeCell ref="P5:P6"/>
    <mergeCell ref="R5:R6"/>
    <mergeCell ref="T5:T6"/>
  </mergeCells>
  <phoneticPr fontId="2"/>
  <pageMargins left="0.75" right="0.75" top="1" bottom="1" header="0.51200000000000001" footer="0.51200000000000001"/>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G6"/>
  <sheetViews>
    <sheetView workbookViewId="0">
      <selection activeCell="L12" sqref="L12"/>
    </sheetView>
  </sheetViews>
  <sheetFormatPr defaultColWidth="9" defaultRowHeight="13"/>
  <cols>
    <col min="1" max="1" width="5.26953125" style="6" bestFit="1" customWidth="1"/>
    <col min="2" max="2" width="7.26953125" style="6" bestFit="1" customWidth="1"/>
    <col min="3" max="3" width="7.26953125" style="6" customWidth="1"/>
    <col min="4" max="4" width="12.6328125" style="6" bestFit="1" customWidth="1"/>
    <col min="5" max="5" width="5.26953125" style="6" bestFit="1" customWidth="1"/>
    <col min="6" max="16384" width="9" style="6"/>
  </cols>
  <sheetData>
    <row r="1" spans="1:7">
      <c r="A1" s="1967" t="s">
        <v>451</v>
      </c>
      <c r="B1" s="1967"/>
      <c r="C1" s="1967"/>
      <c r="D1" s="1967"/>
      <c r="E1" s="1967"/>
      <c r="F1" s="1967"/>
      <c r="G1" s="1967"/>
    </row>
    <row r="2" spans="1:7" ht="26">
      <c r="A2" s="1572" t="s">
        <v>452</v>
      </c>
      <c r="B2" s="1572" t="s">
        <v>368</v>
      </c>
      <c r="C2" s="1572" t="s">
        <v>457</v>
      </c>
      <c r="D2" s="1573" t="s">
        <v>455</v>
      </c>
      <c r="E2" s="1572" t="s">
        <v>453</v>
      </c>
      <c r="F2" s="1572" t="s">
        <v>454</v>
      </c>
      <c r="G2" s="1573" t="s">
        <v>456</v>
      </c>
    </row>
    <row r="3" spans="1:7">
      <c r="A3" s="1968" t="s">
        <v>450</v>
      </c>
      <c r="B3" s="1969">
        <v>44683</v>
      </c>
      <c r="C3" s="1969" t="s">
        <v>458</v>
      </c>
      <c r="D3" s="1572">
        <v>1</v>
      </c>
      <c r="E3" s="24">
        <v>39</v>
      </c>
      <c r="F3" s="24">
        <v>1</v>
      </c>
      <c r="G3" s="1968">
        <f>ROUND(SUM(F3:F6)/SUM(E3:E6)*100,1)</f>
        <v>2.5</v>
      </c>
    </row>
    <row r="4" spans="1:7">
      <c r="A4" s="1968"/>
      <c r="B4" s="1968"/>
      <c r="C4" s="1969"/>
      <c r="D4" s="1572">
        <v>2</v>
      </c>
      <c r="E4" s="24">
        <v>44</v>
      </c>
      <c r="F4" s="24">
        <v>1</v>
      </c>
      <c r="G4" s="1968"/>
    </row>
    <row r="5" spans="1:7">
      <c r="A5" s="1968"/>
      <c r="B5" s="1968"/>
      <c r="C5" s="1969"/>
      <c r="D5" s="1572">
        <v>3</v>
      </c>
      <c r="E5" s="24">
        <v>39</v>
      </c>
      <c r="F5" s="24">
        <v>2</v>
      </c>
      <c r="G5" s="1968"/>
    </row>
    <row r="6" spans="1:7">
      <c r="A6" s="1968"/>
      <c r="B6" s="1968"/>
      <c r="C6" s="1969"/>
      <c r="D6" s="1572">
        <v>4</v>
      </c>
      <c r="E6" s="24">
        <v>40</v>
      </c>
      <c r="F6" s="24">
        <v>0</v>
      </c>
      <c r="G6" s="1968"/>
    </row>
  </sheetData>
  <mergeCells count="5">
    <mergeCell ref="A1:G1"/>
    <mergeCell ref="A3:A6"/>
    <mergeCell ref="G3:G6"/>
    <mergeCell ref="B3:B6"/>
    <mergeCell ref="C3:C6"/>
  </mergeCells>
  <phoneticPr fontId="2"/>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CE81"/>
  <sheetViews>
    <sheetView topLeftCell="F1" workbookViewId="0">
      <selection activeCell="AU77" sqref="AU77"/>
    </sheetView>
  </sheetViews>
  <sheetFormatPr defaultColWidth="9" defaultRowHeight="14"/>
  <cols>
    <col min="1" max="1" width="2.6328125" style="412" customWidth="1"/>
    <col min="2" max="2" width="5.6328125" style="412" customWidth="1"/>
    <col min="3" max="3" width="6.6328125" style="412" customWidth="1"/>
    <col min="4" max="4" width="8.6328125" style="412" customWidth="1"/>
    <col min="5" max="5" width="10.6328125" style="412" customWidth="1"/>
    <col min="6" max="6" width="7.6328125" style="412" customWidth="1"/>
    <col min="7" max="7" width="2.6328125" style="412" customWidth="1"/>
    <col min="8" max="8" width="7.6328125" style="412" customWidth="1"/>
    <col min="9" max="9" width="5.6328125" style="412" hidden="1" customWidth="1"/>
    <col min="10" max="11" width="5.6328125" style="412" customWidth="1"/>
    <col min="12" max="12" width="6.6328125" style="412" customWidth="1"/>
    <col min="13" max="35" width="6.6328125" style="412" hidden="1" customWidth="1"/>
    <col min="36" max="37" width="6.6328125" style="412" customWidth="1"/>
    <col min="38" max="46" width="7.08984375" style="412" customWidth="1"/>
    <col min="47" max="48" width="7.6328125" style="412" customWidth="1"/>
    <col min="49" max="72" width="6" style="412" customWidth="1"/>
    <col min="73" max="83" width="5.26953125" style="412" customWidth="1"/>
    <col min="84" max="16384" width="9" style="412"/>
  </cols>
  <sheetData>
    <row r="1" spans="1:83" ht="6" customHeight="1">
      <c r="A1" s="403"/>
      <c r="B1" s="403"/>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c r="AV1" s="403"/>
    </row>
    <row r="2" spans="1:83" ht="24" customHeight="1" thickBot="1">
      <c r="A2" s="403"/>
      <c r="B2" s="1890" t="s">
        <v>243</v>
      </c>
      <c r="C2" s="1890"/>
      <c r="D2" s="1890"/>
      <c r="E2" s="1890"/>
      <c r="F2" s="1890"/>
      <c r="G2" s="1890"/>
      <c r="H2" s="1890"/>
      <c r="I2" s="1042"/>
      <c r="J2" s="1906">
        <v>2020</v>
      </c>
      <c r="K2" s="1906"/>
      <c r="L2" s="590"/>
      <c r="AL2" s="1046">
        <f t="shared" ref="AL2:AU2" si="0">AVERAGE(AL46:AL51)</f>
        <v>32.833333333333336</v>
      </c>
      <c r="AM2" s="1046">
        <f t="shared" si="0"/>
        <v>42.666666666666664</v>
      </c>
      <c r="AN2" s="1046">
        <f t="shared" si="0"/>
        <v>69.166666666666671</v>
      </c>
      <c r="AO2" s="1046">
        <f t="shared" si="0"/>
        <v>47.833333333333336</v>
      </c>
      <c r="AP2" s="1046">
        <f t="shared" si="0"/>
        <v>135.61166666666665</v>
      </c>
      <c r="AQ2" s="1046">
        <f t="shared" si="0"/>
        <v>53.074999999999996</v>
      </c>
      <c r="AR2" s="1046">
        <f t="shared" si="0"/>
        <v>47.216666666666669</v>
      </c>
      <c r="AS2" s="1046">
        <f t="shared" si="0"/>
        <v>43.466666666666669</v>
      </c>
      <c r="AT2" s="1046">
        <f t="shared" si="0"/>
        <v>117.55</v>
      </c>
      <c r="AU2" s="1046">
        <f t="shared" si="0"/>
        <v>24.333333333333332</v>
      </c>
      <c r="AV2" s="1046" t="e">
        <f>AVERAGE(AV46:AV51)</f>
        <v>#DIV/0!</v>
      </c>
    </row>
    <row r="3" spans="1:83" ht="14.25" customHeight="1" thickBot="1">
      <c r="A3" s="403"/>
      <c r="I3" s="693"/>
      <c r="J3" s="424"/>
      <c r="K3" s="424"/>
      <c r="AU3" s="994"/>
      <c r="AV3" s="403"/>
    </row>
    <row r="4" spans="1:83" ht="18" customHeight="1" thickBot="1">
      <c r="A4" s="403"/>
      <c r="I4" s="782"/>
      <c r="J4" s="424"/>
      <c r="K4" s="424"/>
      <c r="L4" s="765" t="s">
        <v>283</v>
      </c>
      <c r="M4" s="424"/>
      <c r="N4" s="694"/>
      <c r="O4" s="418"/>
      <c r="P4" s="418"/>
      <c r="Q4" s="418"/>
      <c r="R4" s="418"/>
      <c r="S4" s="418"/>
      <c r="T4" s="418"/>
      <c r="U4" s="418"/>
      <c r="V4" s="418"/>
      <c r="W4" s="418"/>
      <c r="X4" s="418"/>
      <c r="Y4" s="418"/>
      <c r="Z4" s="418"/>
      <c r="AA4" s="418"/>
      <c r="AB4" s="418"/>
      <c r="AC4" s="418"/>
      <c r="AD4" s="418"/>
      <c r="AE4" s="418"/>
      <c r="AF4" s="418"/>
      <c r="AG4" s="726"/>
      <c r="AH4" s="726"/>
      <c r="AI4" s="726"/>
      <c r="AJ4" s="726"/>
      <c r="AK4" s="726"/>
      <c r="AL4" s="726"/>
      <c r="AM4" s="726"/>
      <c r="AN4" s="726"/>
      <c r="AO4" s="768"/>
      <c r="AP4" s="768"/>
      <c r="AQ4" s="768"/>
      <c r="AR4" s="768"/>
      <c r="AS4" s="768">
        <v>43166</v>
      </c>
      <c r="AT4" s="768">
        <v>43159</v>
      </c>
      <c r="AU4" s="908">
        <v>43522</v>
      </c>
      <c r="AV4" s="403"/>
    </row>
    <row r="5" spans="1:83" ht="20.25" customHeight="1" thickBot="1">
      <c r="A5" s="403"/>
      <c r="B5" s="404"/>
      <c r="C5" s="420"/>
      <c r="D5" s="421" t="s">
        <v>206</v>
      </c>
      <c r="E5" s="776" t="s">
        <v>207</v>
      </c>
      <c r="F5" s="1885" t="s">
        <v>208</v>
      </c>
      <c r="G5" s="1885"/>
      <c r="H5" s="1886"/>
      <c r="I5" s="782"/>
      <c r="J5" s="424"/>
      <c r="K5" s="424"/>
      <c r="L5" s="766" t="s">
        <v>285</v>
      </c>
      <c r="M5" s="424"/>
      <c r="N5" s="424"/>
      <c r="O5" s="419"/>
      <c r="P5" s="419"/>
      <c r="Q5" s="419"/>
      <c r="R5" s="419"/>
      <c r="S5" s="419"/>
      <c r="T5" s="419"/>
      <c r="U5" s="419"/>
      <c r="V5" s="419"/>
      <c r="W5" s="419"/>
      <c r="X5" s="419"/>
      <c r="Y5" s="419"/>
      <c r="Z5" s="419"/>
      <c r="AA5" s="419"/>
      <c r="AB5" s="419"/>
      <c r="AC5" s="419"/>
      <c r="AD5" s="419"/>
      <c r="AE5" s="419"/>
      <c r="AF5" s="419"/>
      <c r="AG5" s="793"/>
      <c r="AH5" s="793"/>
      <c r="AI5" s="793"/>
      <c r="AJ5" s="793"/>
      <c r="AK5" s="793">
        <v>43223</v>
      </c>
      <c r="AL5" s="793">
        <v>43224</v>
      </c>
      <c r="AM5" s="793"/>
      <c r="AN5" s="793"/>
      <c r="AO5" s="793">
        <v>43227</v>
      </c>
      <c r="AP5" s="838">
        <v>43223</v>
      </c>
      <c r="AQ5" s="794">
        <v>43219</v>
      </c>
      <c r="AR5" s="794">
        <v>43210</v>
      </c>
      <c r="AS5" s="794">
        <v>43219</v>
      </c>
      <c r="AT5" s="794">
        <v>43211</v>
      </c>
      <c r="AU5" s="794">
        <v>43581</v>
      </c>
      <c r="AV5" s="403" t="s">
        <v>333</v>
      </c>
    </row>
    <row r="6" spans="1:83" ht="13.5" customHeight="1">
      <c r="A6" s="403"/>
      <c r="B6" s="405"/>
      <c r="C6" s="419"/>
      <c r="D6" s="427">
        <v>2020</v>
      </c>
      <c r="E6" s="1970" t="s">
        <v>244</v>
      </c>
      <c r="F6" s="775">
        <f>D6-5</f>
        <v>2015</v>
      </c>
      <c r="G6" s="431" t="s">
        <v>209</v>
      </c>
      <c r="H6" s="432">
        <f>D6-1</f>
        <v>2019</v>
      </c>
      <c r="I6" s="641">
        <f>$H$6-$F$6+1</f>
        <v>5</v>
      </c>
      <c r="J6" s="411"/>
      <c r="K6" s="434"/>
      <c r="L6" s="435"/>
      <c r="M6" s="696">
        <v>1985</v>
      </c>
      <c r="N6" s="437">
        <v>1986</v>
      </c>
      <c r="O6" s="437">
        <v>1987</v>
      </c>
      <c r="P6" s="437">
        <v>1988</v>
      </c>
      <c r="Q6" s="437">
        <v>1989</v>
      </c>
      <c r="R6" s="437">
        <v>1990</v>
      </c>
      <c r="S6" s="437">
        <v>1991</v>
      </c>
      <c r="T6" s="437">
        <v>1992</v>
      </c>
      <c r="U6" s="437">
        <v>1993</v>
      </c>
      <c r="V6" s="437">
        <v>1994</v>
      </c>
      <c r="W6" s="437">
        <v>1995</v>
      </c>
      <c r="X6" s="437">
        <v>1996</v>
      </c>
      <c r="Y6" s="437">
        <v>1997</v>
      </c>
      <c r="Z6" s="437">
        <v>1998</v>
      </c>
      <c r="AA6" s="437">
        <v>1999</v>
      </c>
      <c r="AB6" s="437">
        <v>2000</v>
      </c>
      <c r="AC6" s="437">
        <v>2001</v>
      </c>
      <c r="AD6" s="437">
        <v>2002</v>
      </c>
      <c r="AE6" s="437">
        <v>2003</v>
      </c>
      <c r="AF6" s="437">
        <v>2004</v>
      </c>
      <c r="AG6" s="789">
        <v>2005</v>
      </c>
      <c r="AH6" s="789">
        <v>2006</v>
      </c>
      <c r="AI6" s="789">
        <v>2007</v>
      </c>
      <c r="AJ6" s="872">
        <v>2008</v>
      </c>
      <c r="AK6" s="872">
        <v>2009</v>
      </c>
      <c r="AL6" s="791">
        <v>2010</v>
      </c>
      <c r="AM6" s="790">
        <v>2011</v>
      </c>
      <c r="AN6" s="792">
        <v>2012</v>
      </c>
      <c r="AO6" s="790">
        <v>2013</v>
      </c>
      <c r="AP6" s="792">
        <v>2014</v>
      </c>
      <c r="AQ6" s="790">
        <v>2015</v>
      </c>
      <c r="AR6" s="791">
        <v>2016</v>
      </c>
      <c r="AS6" s="791">
        <v>2017</v>
      </c>
      <c r="AT6" s="962">
        <v>2018</v>
      </c>
      <c r="AU6" s="983">
        <v>2019</v>
      </c>
      <c r="AV6" s="973">
        <v>2020</v>
      </c>
    </row>
    <row r="7" spans="1:83" ht="13.5" customHeight="1" thickBot="1">
      <c r="A7" s="403"/>
      <c r="B7" s="406"/>
      <c r="C7" s="418"/>
      <c r="D7" s="441" t="s">
        <v>325</v>
      </c>
      <c r="E7" s="1903"/>
      <c r="F7" s="1887">
        <f>IF(OR(ISBLANK($F$6),ISBLANK($H$6)),"　ヶ年平均",$H$6-$F$6+1)</f>
        <v>5</v>
      </c>
      <c r="G7" s="1887"/>
      <c r="H7" s="1888"/>
      <c r="I7" s="697"/>
      <c r="J7" s="444"/>
      <c r="K7" s="406"/>
      <c r="L7" s="445"/>
      <c r="M7" s="1043" t="s">
        <v>245</v>
      </c>
      <c r="N7" s="523" t="s">
        <v>246</v>
      </c>
      <c r="O7" s="447" t="s">
        <v>247</v>
      </c>
      <c r="P7" s="447" t="s">
        <v>248</v>
      </c>
      <c r="Q7" s="447" t="s">
        <v>249</v>
      </c>
      <c r="R7" s="447" t="s">
        <v>250</v>
      </c>
      <c r="S7" s="447" t="s">
        <v>251</v>
      </c>
      <c r="T7" s="447" t="s">
        <v>252</v>
      </c>
      <c r="U7" s="447" t="s">
        <v>253</v>
      </c>
      <c r="V7" s="447" t="s">
        <v>254</v>
      </c>
      <c r="W7" s="447" t="s">
        <v>255</v>
      </c>
      <c r="X7" s="447" t="s">
        <v>256</v>
      </c>
      <c r="Y7" s="447" t="s">
        <v>257</v>
      </c>
      <c r="Z7" s="447" t="s">
        <v>258</v>
      </c>
      <c r="AA7" s="447" t="s">
        <v>259</v>
      </c>
      <c r="AB7" s="447" t="s">
        <v>260</v>
      </c>
      <c r="AC7" s="447" t="s">
        <v>261</v>
      </c>
      <c r="AD7" s="447" t="s">
        <v>262</v>
      </c>
      <c r="AE7" s="447" t="s">
        <v>263</v>
      </c>
      <c r="AF7" s="447" t="s">
        <v>264</v>
      </c>
      <c r="AG7" s="447" t="s">
        <v>265</v>
      </c>
      <c r="AH7" s="447" t="s">
        <v>266</v>
      </c>
      <c r="AI7" s="447" t="s">
        <v>267</v>
      </c>
      <c r="AJ7" s="447" t="s">
        <v>268</v>
      </c>
      <c r="AK7" s="447" t="s">
        <v>210</v>
      </c>
      <c r="AL7" s="448" t="s">
        <v>211</v>
      </c>
      <c r="AM7" s="447" t="s">
        <v>212</v>
      </c>
      <c r="AN7" s="449" t="s">
        <v>213</v>
      </c>
      <c r="AO7" s="447" t="s">
        <v>214</v>
      </c>
      <c r="AP7" s="449" t="s">
        <v>215</v>
      </c>
      <c r="AQ7" s="447" t="s">
        <v>216</v>
      </c>
      <c r="AR7" s="784" t="s">
        <v>217</v>
      </c>
      <c r="AS7" s="784" t="s">
        <v>270</v>
      </c>
      <c r="AT7" s="963" t="s">
        <v>308</v>
      </c>
      <c r="AU7" s="984" t="s">
        <v>315</v>
      </c>
      <c r="AV7" s="974" t="s">
        <v>325</v>
      </c>
    </row>
    <row r="8" spans="1:83" ht="13.5" customHeight="1">
      <c r="A8" s="403"/>
      <c r="B8" s="408"/>
      <c r="C8" s="450" t="s">
        <v>189</v>
      </c>
      <c r="D8" s="482">
        <f t="shared" ref="D8:D61" ca="1" si="1">IF(ISBLANK($D$6),-20,OFFSET($M8,0,$D$6-1985,1,1))</f>
        <v>0</v>
      </c>
      <c r="E8" s="761"/>
      <c r="F8" s="701"/>
      <c r="G8" s="701"/>
      <c r="H8" s="702"/>
      <c r="I8" s="703"/>
      <c r="J8" s="444"/>
      <c r="K8" s="408"/>
      <c r="L8" s="484" t="s">
        <v>300</v>
      </c>
      <c r="M8" s="411"/>
      <c r="N8" s="552"/>
      <c r="O8" s="704"/>
      <c r="P8" s="761"/>
      <c r="Q8" s="761"/>
      <c r="R8" s="761"/>
      <c r="S8" s="761"/>
      <c r="T8" s="761"/>
      <c r="U8" s="761"/>
      <c r="V8" s="761"/>
      <c r="W8" s="761"/>
      <c r="X8" s="761"/>
      <c r="Y8" s="761"/>
      <c r="Z8" s="761"/>
      <c r="AA8" s="761"/>
      <c r="AB8" s="761"/>
      <c r="AC8" s="761"/>
      <c r="AD8" s="761"/>
      <c r="AE8" s="761"/>
      <c r="AF8" s="761"/>
      <c r="AG8" s="761"/>
      <c r="AH8" s="761"/>
      <c r="AI8" s="761"/>
      <c r="AJ8" s="761"/>
      <c r="AK8" s="761"/>
      <c r="AL8" s="552"/>
      <c r="AM8" s="761"/>
      <c r="AN8" s="411"/>
      <c r="AO8" s="783"/>
      <c r="AP8" s="411"/>
      <c r="AQ8" s="795">
        <v>0</v>
      </c>
      <c r="AR8" s="785">
        <v>0</v>
      </c>
      <c r="AS8" s="873"/>
      <c r="AT8" s="964">
        <v>0</v>
      </c>
      <c r="AU8" s="985">
        <v>0</v>
      </c>
      <c r="AV8" s="1041"/>
    </row>
    <row r="9" spans="1:83" ht="13.5" customHeight="1">
      <c r="A9" s="403"/>
      <c r="B9" s="408"/>
      <c r="C9" s="461" t="s">
        <v>190</v>
      </c>
      <c r="D9" s="482">
        <f t="shared" ca="1" si="1"/>
        <v>0</v>
      </c>
      <c r="E9" s="761"/>
      <c r="F9" s="701"/>
      <c r="G9" s="701"/>
      <c r="H9" s="702"/>
      <c r="I9" s="703"/>
      <c r="J9" s="444"/>
      <c r="K9" s="408"/>
      <c r="L9" s="491" t="s">
        <v>301</v>
      </c>
      <c r="M9" s="411"/>
      <c r="N9" s="552"/>
      <c r="O9" s="704"/>
      <c r="P9" s="761"/>
      <c r="Q9" s="761"/>
      <c r="R9" s="761"/>
      <c r="S9" s="761"/>
      <c r="T9" s="761"/>
      <c r="U9" s="761"/>
      <c r="V9" s="761"/>
      <c r="W9" s="761"/>
      <c r="X9" s="761"/>
      <c r="Y9" s="761"/>
      <c r="Z9" s="761"/>
      <c r="AA9" s="761"/>
      <c r="AB9" s="761"/>
      <c r="AC9" s="761"/>
      <c r="AD9" s="761"/>
      <c r="AE9" s="761"/>
      <c r="AF9" s="761"/>
      <c r="AG9" s="761"/>
      <c r="AH9" s="761"/>
      <c r="AI9" s="761"/>
      <c r="AJ9" s="761"/>
      <c r="AK9" s="761"/>
      <c r="AL9" s="552"/>
      <c r="AM9" s="761"/>
      <c r="AN9" s="411"/>
      <c r="AO9" s="761"/>
      <c r="AP9" s="411"/>
      <c r="AQ9" s="796">
        <v>0</v>
      </c>
      <c r="AR9" s="786">
        <v>9</v>
      </c>
      <c r="AS9" s="874">
        <v>0</v>
      </c>
      <c r="AT9" s="965">
        <v>0</v>
      </c>
      <c r="AU9" s="986">
        <v>0</v>
      </c>
      <c r="AV9" s="1040"/>
    </row>
    <row r="10" spans="1:83" ht="13.5" customHeight="1">
      <c r="A10" s="403"/>
      <c r="B10" s="408" t="s">
        <v>191</v>
      </c>
      <c r="C10" s="461" t="s">
        <v>192</v>
      </c>
      <c r="D10" s="482">
        <f t="shared" ca="1" si="1"/>
        <v>0</v>
      </c>
      <c r="E10" s="761"/>
      <c r="F10" s="701"/>
      <c r="G10" s="701"/>
      <c r="H10" s="702"/>
      <c r="I10" s="703"/>
      <c r="J10" s="444"/>
      <c r="K10" s="408" t="s">
        <v>191</v>
      </c>
      <c r="L10" s="491" t="s">
        <v>302</v>
      </c>
      <c r="M10" s="411"/>
      <c r="N10" s="552"/>
      <c r="O10" s="704"/>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552"/>
      <c r="AM10" s="761"/>
      <c r="AN10" s="411"/>
      <c r="AO10" s="761"/>
      <c r="AP10" s="411"/>
      <c r="AQ10" s="796">
        <v>0</v>
      </c>
      <c r="AR10" s="786">
        <v>1</v>
      </c>
      <c r="AS10" s="874">
        <v>0</v>
      </c>
      <c r="AT10" s="965">
        <v>0</v>
      </c>
      <c r="AU10" s="986">
        <v>0.1</v>
      </c>
      <c r="AV10" s="1040"/>
      <c r="AW10" s="908"/>
    </row>
    <row r="11" spans="1:83" ht="13.5" customHeight="1">
      <c r="A11" s="403"/>
      <c r="B11" s="408"/>
      <c r="C11" s="461" t="s">
        <v>193</v>
      </c>
      <c r="D11" s="482">
        <f t="shared" ca="1" si="1"/>
        <v>0</v>
      </c>
      <c r="E11" s="761"/>
      <c r="F11" s="701"/>
      <c r="G11" s="701"/>
      <c r="H11" s="702"/>
      <c r="I11" s="703"/>
      <c r="J11" s="444"/>
      <c r="K11" s="408"/>
      <c r="L11" s="491" t="s">
        <v>303</v>
      </c>
      <c r="M11" s="411"/>
      <c r="N11" s="552"/>
      <c r="O11" s="704"/>
      <c r="P11" s="761"/>
      <c r="Q11" s="761"/>
      <c r="R11" s="761"/>
      <c r="S11" s="761"/>
      <c r="T11" s="761"/>
      <c r="U11" s="761"/>
      <c r="V11" s="761"/>
      <c r="W11" s="761"/>
      <c r="X11" s="761"/>
      <c r="Y11" s="761"/>
      <c r="Z11" s="761"/>
      <c r="AA11" s="761"/>
      <c r="AB11" s="761"/>
      <c r="AC11" s="761"/>
      <c r="AD11" s="761"/>
      <c r="AE11" s="761"/>
      <c r="AF11" s="761"/>
      <c r="AG11" s="761"/>
      <c r="AH11" s="761"/>
      <c r="AI11" s="761"/>
      <c r="AJ11" s="761"/>
      <c r="AK11" s="761"/>
      <c r="AL11" s="552"/>
      <c r="AM11" s="761"/>
      <c r="AN11" s="411"/>
      <c r="AO11" s="761"/>
      <c r="AP11" s="411"/>
      <c r="AQ11" s="796">
        <v>1</v>
      </c>
      <c r="AR11" s="786">
        <v>4</v>
      </c>
      <c r="AS11" s="874">
        <v>0</v>
      </c>
      <c r="AT11" s="965">
        <v>0</v>
      </c>
      <c r="AU11" s="986">
        <v>0.7</v>
      </c>
      <c r="AV11" s="1040"/>
      <c r="AW11" s="741"/>
      <c r="AX11" s="741"/>
      <c r="AY11" s="907"/>
      <c r="AZ11" s="741"/>
      <c r="BA11" s="403"/>
      <c r="BB11" s="403"/>
      <c r="BC11" s="403"/>
      <c r="BD11" s="403"/>
      <c r="BE11" s="403"/>
      <c r="BF11" s="403"/>
      <c r="BG11" s="403"/>
      <c r="BH11" s="403"/>
      <c r="BI11" s="403"/>
      <c r="BJ11" s="741"/>
      <c r="BK11" s="741"/>
      <c r="BL11" s="741"/>
      <c r="BM11" s="741"/>
      <c r="BN11" s="741"/>
      <c r="BO11" s="741"/>
      <c r="BP11" s="741"/>
      <c r="BQ11" s="741"/>
      <c r="BR11" s="741"/>
      <c r="BS11" s="741"/>
      <c r="BT11" s="741"/>
      <c r="BU11" s="741"/>
      <c r="BV11" s="741"/>
      <c r="BW11" s="741"/>
      <c r="BX11" s="741"/>
    </row>
    <row r="12" spans="1:83" ht="13.5" customHeight="1">
      <c r="A12" s="403"/>
      <c r="B12" s="408"/>
      <c r="C12" s="461" t="s">
        <v>194</v>
      </c>
      <c r="D12" s="482">
        <f t="shared" ca="1" si="1"/>
        <v>0</v>
      </c>
      <c r="E12" s="761"/>
      <c r="F12" s="701"/>
      <c r="G12" s="701"/>
      <c r="H12" s="702"/>
      <c r="I12" s="703"/>
      <c r="J12" s="444"/>
      <c r="K12" s="408"/>
      <c r="L12" s="491" t="s">
        <v>304</v>
      </c>
      <c r="M12" s="411"/>
      <c r="N12" s="552"/>
      <c r="O12" s="704"/>
      <c r="P12" s="761"/>
      <c r="Q12" s="761"/>
      <c r="R12" s="761"/>
      <c r="S12" s="761"/>
      <c r="T12" s="761"/>
      <c r="U12" s="761"/>
      <c r="V12" s="761"/>
      <c r="W12" s="761"/>
      <c r="X12" s="761"/>
      <c r="Y12" s="761"/>
      <c r="Z12" s="761"/>
      <c r="AA12" s="761"/>
      <c r="AB12" s="761"/>
      <c r="AC12" s="761"/>
      <c r="AD12" s="761"/>
      <c r="AE12" s="761"/>
      <c r="AF12" s="761"/>
      <c r="AG12" s="761"/>
      <c r="AH12" s="761"/>
      <c r="AI12" s="761"/>
      <c r="AJ12" s="761"/>
      <c r="AK12" s="761"/>
      <c r="AL12" s="552"/>
      <c r="AM12" s="761"/>
      <c r="AN12" s="411"/>
      <c r="AO12" s="761"/>
      <c r="AP12" s="411"/>
      <c r="AQ12" s="796">
        <v>0</v>
      </c>
      <c r="AR12" s="786">
        <v>6.25</v>
      </c>
      <c r="AS12" s="874">
        <v>0</v>
      </c>
      <c r="AT12" s="965">
        <v>0</v>
      </c>
      <c r="AU12" s="986">
        <v>0.14000000000000001</v>
      </c>
      <c r="AV12" s="975"/>
    </row>
    <row r="13" spans="1:83" ht="13.5" customHeight="1" thickBot="1">
      <c r="A13" s="403"/>
      <c r="B13" s="472"/>
      <c r="C13" s="448" t="s">
        <v>195</v>
      </c>
      <c r="D13" s="705">
        <f t="shared" ca="1" si="1"/>
        <v>0</v>
      </c>
      <c r="E13" s="762"/>
      <c r="F13" s="708"/>
      <c r="G13" s="708"/>
      <c r="H13" s="709"/>
      <c r="I13" s="703"/>
      <c r="J13" s="444"/>
      <c r="K13" s="472"/>
      <c r="L13" s="509" t="s">
        <v>305</v>
      </c>
      <c r="M13" s="411"/>
      <c r="N13" s="552"/>
      <c r="O13" s="704"/>
      <c r="P13" s="761"/>
      <c r="Q13" s="761"/>
      <c r="R13" s="761"/>
      <c r="S13" s="761"/>
      <c r="T13" s="761"/>
      <c r="U13" s="761"/>
      <c r="V13" s="761"/>
      <c r="W13" s="761"/>
      <c r="X13" s="761"/>
      <c r="Y13" s="761"/>
      <c r="Z13" s="761"/>
      <c r="AA13" s="761"/>
      <c r="AB13" s="761"/>
      <c r="AC13" s="761"/>
      <c r="AD13" s="761"/>
      <c r="AE13" s="761"/>
      <c r="AF13" s="761"/>
      <c r="AG13" s="761"/>
      <c r="AH13" s="761"/>
      <c r="AI13" s="761"/>
      <c r="AJ13" s="761"/>
      <c r="AK13" s="761"/>
      <c r="AL13" s="552"/>
      <c r="AM13" s="761"/>
      <c r="AN13" s="411"/>
      <c r="AO13" s="761"/>
      <c r="AP13" s="411"/>
      <c r="AQ13" s="797">
        <v>1</v>
      </c>
      <c r="AR13" s="787">
        <v>8.1</v>
      </c>
      <c r="AS13" s="875">
        <v>1</v>
      </c>
      <c r="AT13" s="966">
        <v>0.6</v>
      </c>
      <c r="AU13" s="987">
        <v>2</v>
      </c>
      <c r="AV13" s="976"/>
      <c r="AW13" s="403"/>
      <c r="AX13" s="403"/>
      <c r="AY13" s="403"/>
      <c r="AZ13" s="403"/>
      <c r="BA13" s="403"/>
      <c r="BB13" s="403"/>
      <c r="BC13" s="403"/>
      <c r="BD13" s="403"/>
      <c r="BE13" s="403"/>
      <c r="BF13" s="403"/>
      <c r="BG13" s="403"/>
      <c r="BH13" s="403"/>
      <c r="BI13" s="403"/>
      <c r="BJ13" s="403"/>
      <c r="BK13" s="403"/>
      <c r="BL13" s="403"/>
      <c r="BM13" s="403"/>
      <c r="BN13" s="403"/>
      <c r="BO13" s="403"/>
      <c r="BP13" s="403"/>
      <c r="BQ13" s="403"/>
      <c r="BR13" s="403"/>
      <c r="BS13" s="403"/>
      <c r="BT13" s="403"/>
      <c r="BU13" s="403"/>
      <c r="BV13" s="403"/>
      <c r="BW13" s="403"/>
      <c r="BX13" s="403"/>
    </row>
    <row r="14" spans="1:83" ht="13.5" customHeight="1">
      <c r="A14" s="403"/>
      <c r="B14" s="408"/>
      <c r="C14" s="450" t="s">
        <v>189</v>
      </c>
      <c r="D14" s="482">
        <f t="shared" ca="1" si="1"/>
        <v>0</v>
      </c>
      <c r="E14" s="779">
        <f ca="1">AVERAGE(OFFSET(M14,0,$J$2-1986,1,-10))</f>
        <v>7.339999999999999</v>
      </c>
      <c r="F14" s="711"/>
      <c r="G14" s="711"/>
      <c r="H14" s="712">
        <f t="shared" ref="H14:H61" ca="1" si="2">IF(OR(ISBLANK($F$6),ISBLANK($H$6)),-20,AVERAGE(OFFSET($M14,0,$F$6-1985,1,$H$6-$F$6+1)))</f>
        <v>12.879999999999999</v>
      </c>
      <c r="I14" s="713"/>
      <c r="J14" s="614"/>
      <c r="K14" s="434"/>
      <c r="L14" s="484" t="s">
        <v>300</v>
      </c>
      <c r="M14" s="459">
        <v>0</v>
      </c>
      <c r="N14" s="517">
        <v>0</v>
      </c>
      <c r="O14" s="714">
        <v>0</v>
      </c>
      <c r="P14" s="457">
        <v>0</v>
      </c>
      <c r="Q14" s="457">
        <v>0</v>
      </c>
      <c r="R14" s="457">
        <v>0</v>
      </c>
      <c r="S14" s="457">
        <v>2</v>
      </c>
      <c r="T14" s="457">
        <v>1</v>
      </c>
      <c r="U14" s="457">
        <v>19</v>
      </c>
      <c r="V14" s="457">
        <v>0</v>
      </c>
      <c r="W14" s="457">
        <v>0</v>
      </c>
      <c r="X14" s="457">
        <v>0</v>
      </c>
      <c r="Y14" s="457">
        <v>2</v>
      </c>
      <c r="Z14" s="457">
        <v>0</v>
      </c>
      <c r="AA14" s="457">
        <v>1</v>
      </c>
      <c r="AB14" s="457">
        <v>0</v>
      </c>
      <c r="AC14" s="485">
        <v>0</v>
      </c>
      <c r="AD14" s="485">
        <v>5</v>
      </c>
      <c r="AE14" s="485">
        <v>0</v>
      </c>
      <c r="AF14" s="485">
        <v>1</v>
      </c>
      <c r="AG14" s="485">
        <v>0</v>
      </c>
      <c r="AH14" s="485">
        <v>0</v>
      </c>
      <c r="AI14" s="485">
        <v>4</v>
      </c>
      <c r="AJ14" s="485">
        <v>0</v>
      </c>
      <c r="AK14" s="485">
        <v>0</v>
      </c>
      <c r="AL14" s="486">
        <v>2</v>
      </c>
      <c r="AM14" s="485">
        <v>0</v>
      </c>
      <c r="AN14" s="487">
        <v>0</v>
      </c>
      <c r="AO14" s="485">
        <v>6</v>
      </c>
      <c r="AP14" s="487">
        <v>1</v>
      </c>
      <c r="AQ14" s="486">
        <v>2.5</v>
      </c>
      <c r="AR14" s="519">
        <v>37</v>
      </c>
      <c r="AS14" s="876">
        <v>3</v>
      </c>
      <c r="AT14" s="967">
        <v>11.3</v>
      </c>
      <c r="AU14" s="988">
        <v>10.6</v>
      </c>
      <c r="AV14" s="977"/>
      <c r="AW14" s="403"/>
      <c r="AX14" s="403"/>
      <c r="AY14" s="403"/>
      <c r="AZ14" s="403"/>
      <c r="BA14" s="403"/>
      <c r="BB14" s="403"/>
      <c r="BC14" s="403"/>
      <c r="BD14" s="403"/>
      <c r="BE14" s="403"/>
      <c r="BF14" s="403"/>
      <c r="BG14" s="403"/>
      <c r="BH14" s="403"/>
      <c r="BI14" s="403"/>
      <c r="BJ14" s="403"/>
      <c r="BK14" s="403"/>
      <c r="BL14" s="403"/>
      <c r="BM14" s="403"/>
      <c r="BN14" s="403"/>
      <c r="BO14" s="403"/>
      <c r="BP14" s="403"/>
      <c r="BQ14" s="403"/>
      <c r="BR14" s="403"/>
      <c r="BS14" s="403"/>
      <c r="BT14" s="403"/>
      <c r="BU14" s="403"/>
      <c r="BV14" s="403"/>
      <c r="BW14" s="403"/>
      <c r="BX14" s="403"/>
      <c r="BY14" s="403"/>
      <c r="BZ14" s="403"/>
      <c r="CA14" s="403"/>
      <c r="CB14" s="403"/>
      <c r="CC14" s="403"/>
      <c r="CD14" s="403"/>
      <c r="CE14" s="403"/>
    </row>
    <row r="15" spans="1:83" ht="13.5" customHeight="1">
      <c r="A15" s="403"/>
      <c r="B15" s="408"/>
      <c r="C15" s="461" t="s">
        <v>190</v>
      </c>
      <c r="D15" s="482">
        <f t="shared" ca="1" si="1"/>
        <v>0</v>
      </c>
      <c r="E15" s="777">
        <f t="shared" ref="E15:E61" ca="1" si="3">AVERAGE(OFFSET(M15,0,$J$2-1986,1,-10))</f>
        <v>15.220000000000002</v>
      </c>
      <c r="F15" s="464"/>
      <c r="G15" s="464"/>
      <c r="H15" s="465">
        <f t="shared" ca="1" si="2"/>
        <v>23.64</v>
      </c>
      <c r="I15" s="715"/>
      <c r="J15" s="614"/>
      <c r="K15" s="490"/>
      <c r="L15" s="491" t="s">
        <v>301</v>
      </c>
      <c r="M15" s="469">
        <v>0</v>
      </c>
      <c r="N15" s="467">
        <v>0</v>
      </c>
      <c r="O15" s="716">
        <v>4</v>
      </c>
      <c r="P15" s="467">
        <v>0</v>
      </c>
      <c r="Q15" s="467">
        <v>0</v>
      </c>
      <c r="R15" s="467">
        <v>1</v>
      </c>
      <c r="S15" s="467">
        <v>17</v>
      </c>
      <c r="T15" s="467">
        <v>6</v>
      </c>
      <c r="U15" s="467">
        <v>0</v>
      </c>
      <c r="V15" s="467">
        <v>0</v>
      </c>
      <c r="W15" s="467">
        <v>1</v>
      </c>
      <c r="X15" s="467">
        <v>0</v>
      </c>
      <c r="Y15" s="467">
        <v>11</v>
      </c>
      <c r="Z15" s="467">
        <v>25</v>
      </c>
      <c r="AA15" s="467">
        <v>1</v>
      </c>
      <c r="AB15" s="467">
        <v>0</v>
      </c>
      <c r="AC15" s="492">
        <v>1</v>
      </c>
      <c r="AD15" s="492">
        <v>13</v>
      </c>
      <c r="AE15" s="492">
        <v>0</v>
      </c>
      <c r="AF15" s="492">
        <v>26</v>
      </c>
      <c r="AG15" s="492">
        <v>7</v>
      </c>
      <c r="AH15" s="492">
        <v>0</v>
      </c>
      <c r="AI15" s="492">
        <v>2</v>
      </c>
      <c r="AJ15" s="492">
        <v>3</v>
      </c>
      <c r="AK15" s="492">
        <v>11</v>
      </c>
      <c r="AL15" s="493">
        <v>4</v>
      </c>
      <c r="AM15" s="492">
        <v>11</v>
      </c>
      <c r="AN15" s="494">
        <v>0</v>
      </c>
      <c r="AO15" s="492">
        <v>17</v>
      </c>
      <c r="AP15" s="494">
        <v>2</v>
      </c>
      <c r="AQ15" s="493">
        <v>1.5</v>
      </c>
      <c r="AR15" s="493">
        <v>93.3</v>
      </c>
      <c r="AS15" s="877">
        <v>8</v>
      </c>
      <c r="AT15" s="968">
        <v>8</v>
      </c>
      <c r="AU15" s="989">
        <v>7.4</v>
      </c>
      <c r="AV15" s="978"/>
      <c r="AW15" s="403"/>
      <c r="AX15" s="403"/>
      <c r="AY15" s="403"/>
      <c r="AZ15" s="403"/>
      <c r="BA15" s="403"/>
      <c r="BB15" s="403"/>
      <c r="BC15" s="403"/>
      <c r="BD15" s="403"/>
      <c r="BE15" s="403"/>
      <c r="BF15" s="403"/>
      <c r="BG15" s="403"/>
      <c r="BH15" s="403"/>
      <c r="BI15" s="403"/>
      <c r="BJ15" s="403"/>
      <c r="BK15" s="403"/>
      <c r="BL15" s="403"/>
      <c r="BM15" s="403"/>
      <c r="BN15" s="403"/>
      <c r="BO15" s="403"/>
      <c r="BP15" s="403"/>
      <c r="BQ15" s="403"/>
      <c r="BR15" s="403"/>
      <c r="BS15" s="403"/>
      <c r="BT15" s="403"/>
      <c r="BU15" s="403"/>
      <c r="BV15" s="403"/>
      <c r="BW15" s="403"/>
      <c r="BX15" s="403"/>
      <c r="BY15" s="403"/>
      <c r="BZ15" s="403"/>
      <c r="CA15" s="403"/>
      <c r="CB15" s="403"/>
      <c r="CC15" s="403"/>
      <c r="CD15" s="403"/>
      <c r="CE15" s="403"/>
    </row>
    <row r="16" spans="1:83" ht="13.5" customHeight="1">
      <c r="A16" s="403"/>
      <c r="B16" s="408" t="s">
        <v>196</v>
      </c>
      <c r="C16" s="461" t="s">
        <v>192</v>
      </c>
      <c r="D16" s="482">
        <f t="shared" ca="1" si="1"/>
        <v>0</v>
      </c>
      <c r="E16" s="777">
        <f t="shared" ca="1" si="3"/>
        <v>40.65</v>
      </c>
      <c r="F16" s="464"/>
      <c r="G16" s="464"/>
      <c r="H16" s="465">
        <f t="shared" ca="1" si="2"/>
        <v>66.5</v>
      </c>
      <c r="I16" s="715"/>
      <c r="J16" s="614"/>
      <c r="K16" s="490" t="s">
        <v>196</v>
      </c>
      <c r="L16" s="491" t="s">
        <v>302</v>
      </c>
      <c r="M16" s="469">
        <v>0</v>
      </c>
      <c r="N16" s="467">
        <v>0</v>
      </c>
      <c r="O16" s="716">
        <v>6</v>
      </c>
      <c r="P16" s="467">
        <v>6</v>
      </c>
      <c r="Q16" s="467">
        <v>62</v>
      </c>
      <c r="R16" s="467">
        <v>15</v>
      </c>
      <c r="S16" s="467">
        <v>65</v>
      </c>
      <c r="T16" s="467">
        <v>1</v>
      </c>
      <c r="U16" s="467">
        <v>4</v>
      </c>
      <c r="V16" s="467">
        <v>4</v>
      </c>
      <c r="W16" s="467">
        <v>4</v>
      </c>
      <c r="X16" s="467">
        <v>0</v>
      </c>
      <c r="Y16" s="467">
        <v>44</v>
      </c>
      <c r="Z16" s="467">
        <v>103</v>
      </c>
      <c r="AA16" s="467">
        <v>3</v>
      </c>
      <c r="AB16" s="467">
        <v>1</v>
      </c>
      <c r="AC16" s="492">
        <v>6</v>
      </c>
      <c r="AD16" s="492">
        <v>11</v>
      </c>
      <c r="AE16" s="492">
        <v>0</v>
      </c>
      <c r="AF16" s="492">
        <v>56</v>
      </c>
      <c r="AG16" s="492">
        <v>2</v>
      </c>
      <c r="AH16" s="492">
        <v>3</v>
      </c>
      <c r="AI16" s="492">
        <v>19</v>
      </c>
      <c r="AJ16" s="492">
        <v>2</v>
      </c>
      <c r="AK16" s="492">
        <v>25</v>
      </c>
      <c r="AL16" s="493">
        <v>7</v>
      </c>
      <c r="AM16" s="492">
        <v>19</v>
      </c>
      <c r="AN16" s="494">
        <v>3</v>
      </c>
      <c r="AO16" s="492">
        <v>41</v>
      </c>
      <c r="AP16" s="494">
        <v>4</v>
      </c>
      <c r="AQ16" s="493">
        <v>8</v>
      </c>
      <c r="AR16" s="493">
        <v>191.8</v>
      </c>
      <c r="AS16" s="877">
        <v>62.7</v>
      </c>
      <c r="AT16" s="968">
        <v>56</v>
      </c>
      <c r="AU16" s="989">
        <v>14</v>
      </c>
      <c r="AV16" s="978"/>
      <c r="AW16" s="403"/>
      <c r="AX16" s="403"/>
      <c r="AY16" s="403"/>
      <c r="AZ16" s="403"/>
      <c r="BA16" s="403"/>
      <c r="BB16" s="403"/>
      <c r="BC16" s="403"/>
      <c r="BD16" s="403"/>
      <c r="BE16" s="403"/>
      <c r="BF16" s="403"/>
      <c r="BG16" s="403"/>
      <c r="BH16" s="403"/>
      <c r="BI16" s="403"/>
      <c r="BJ16" s="403"/>
      <c r="BK16" s="403"/>
      <c r="BL16" s="403"/>
      <c r="BM16" s="403"/>
      <c r="BN16" s="403"/>
      <c r="BO16" s="403"/>
      <c r="BP16" s="403"/>
      <c r="BQ16" s="403"/>
      <c r="BR16" s="403"/>
      <c r="BS16" s="403"/>
      <c r="BT16" s="403"/>
      <c r="BU16" s="403"/>
      <c r="BV16" s="403"/>
      <c r="BW16" s="403"/>
      <c r="BX16" s="403"/>
      <c r="BY16" s="403"/>
      <c r="BZ16" s="403"/>
      <c r="CA16" s="403"/>
      <c r="CB16" s="403"/>
      <c r="CC16" s="403"/>
      <c r="CD16" s="403"/>
      <c r="CE16" s="403"/>
    </row>
    <row r="17" spans="1:83" ht="13.5" customHeight="1">
      <c r="A17" s="403"/>
      <c r="B17" s="408"/>
      <c r="C17" s="461" t="s">
        <v>193</v>
      </c>
      <c r="D17" s="482">
        <f t="shared" ca="1" si="1"/>
        <v>0</v>
      </c>
      <c r="E17" s="777">
        <f t="shared" ca="1" si="3"/>
        <v>148.26000000000002</v>
      </c>
      <c r="F17" s="464"/>
      <c r="G17" s="464"/>
      <c r="H17" s="465">
        <f t="shared" ca="1" si="2"/>
        <v>227.66</v>
      </c>
      <c r="I17" s="715"/>
      <c r="J17" s="614"/>
      <c r="K17" s="490"/>
      <c r="L17" s="491" t="s">
        <v>303</v>
      </c>
      <c r="M17" s="469">
        <v>2</v>
      </c>
      <c r="N17" s="467">
        <v>2</v>
      </c>
      <c r="O17" s="716">
        <v>14</v>
      </c>
      <c r="P17" s="467">
        <v>21</v>
      </c>
      <c r="Q17" s="467">
        <v>55</v>
      </c>
      <c r="R17" s="467">
        <v>16</v>
      </c>
      <c r="S17" s="467">
        <v>167</v>
      </c>
      <c r="T17" s="467">
        <v>10</v>
      </c>
      <c r="U17" s="467">
        <v>84</v>
      </c>
      <c r="V17" s="467">
        <v>7</v>
      </c>
      <c r="W17" s="467">
        <v>8</v>
      </c>
      <c r="X17" s="467">
        <v>0</v>
      </c>
      <c r="Y17" s="467">
        <v>93</v>
      </c>
      <c r="Z17" s="467">
        <v>131</v>
      </c>
      <c r="AA17" s="467">
        <v>12</v>
      </c>
      <c r="AB17" s="467">
        <v>1</v>
      </c>
      <c r="AC17" s="492">
        <v>69</v>
      </c>
      <c r="AD17" s="492">
        <v>53</v>
      </c>
      <c r="AE17" s="492">
        <v>0</v>
      </c>
      <c r="AF17" s="500">
        <v>103</v>
      </c>
      <c r="AG17" s="500">
        <v>50</v>
      </c>
      <c r="AH17" s="500">
        <v>2</v>
      </c>
      <c r="AI17" s="500">
        <v>33</v>
      </c>
      <c r="AJ17" s="500">
        <v>65</v>
      </c>
      <c r="AK17" s="500">
        <v>47</v>
      </c>
      <c r="AL17" s="501">
        <v>14</v>
      </c>
      <c r="AM17" s="500">
        <v>39</v>
      </c>
      <c r="AN17" s="502">
        <v>16</v>
      </c>
      <c r="AO17" s="500">
        <v>243</v>
      </c>
      <c r="AP17" s="502">
        <v>32.299999999999997</v>
      </c>
      <c r="AQ17" s="501">
        <v>58</v>
      </c>
      <c r="AR17" s="493">
        <v>396.8</v>
      </c>
      <c r="AS17" s="877">
        <v>204.3</v>
      </c>
      <c r="AT17" s="968">
        <v>287.5</v>
      </c>
      <c r="AU17" s="989">
        <v>191.7</v>
      </c>
      <c r="AV17" s="978"/>
      <c r="AW17" s="403"/>
      <c r="AX17" s="403"/>
      <c r="AY17" s="403"/>
      <c r="AZ17" s="403"/>
      <c r="BA17" s="403"/>
      <c r="BB17" s="403"/>
      <c r="BC17" s="403"/>
      <c r="BD17" s="403"/>
      <c r="BE17" s="403"/>
      <c r="BF17" s="403"/>
      <c r="BG17" s="403"/>
      <c r="BH17" s="403"/>
      <c r="BI17" s="403"/>
      <c r="BJ17" s="403"/>
      <c r="BK17" s="403"/>
      <c r="BL17" s="403"/>
      <c r="BM17" s="403"/>
      <c r="BN17" s="403"/>
      <c r="BO17" s="403"/>
      <c r="BP17" s="403"/>
      <c r="BQ17" s="403"/>
      <c r="BR17" s="403"/>
      <c r="BS17" s="403"/>
      <c r="BT17" s="403"/>
      <c r="BU17" s="403"/>
      <c r="BV17" s="403"/>
      <c r="BW17" s="403"/>
      <c r="BX17" s="403"/>
      <c r="BY17" s="403"/>
      <c r="BZ17" s="403"/>
      <c r="CA17" s="403"/>
      <c r="CB17" s="403"/>
      <c r="CC17" s="403"/>
      <c r="CD17" s="403"/>
      <c r="CE17" s="403"/>
    </row>
    <row r="18" spans="1:83" ht="13.5" customHeight="1">
      <c r="A18" s="403"/>
      <c r="B18" s="408"/>
      <c r="C18" s="461" t="s">
        <v>194</v>
      </c>
      <c r="D18" s="482">
        <f t="shared" ca="1" si="1"/>
        <v>0</v>
      </c>
      <c r="E18" s="777">
        <f t="shared" ca="1" si="3"/>
        <v>258.21140000000003</v>
      </c>
      <c r="F18" s="464"/>
      <c r="G18" s="464"/>
      <c r="H18" s="465">
        <f t="shared" ca="1" si="2"/>
        <v>431.70280000000002</v>
      </c>
      <c r="I18" s="715"/>
      <c r="J18" s="614"/>
      <c r="K18" s="490"/>
      <c r="L18" s="491" t="s">
        <v>304</v>
      </c>
      <c r="M18" s="469">
        <v>32</v>
      </c>
      <c r="N18" s="467">
        <v>13</v>
      </c>
      <c r="O18" s="716">
        <v>34</v>
      </c>
      <c r="P18" s="467">
        <v>16</v>
      </c>
      <c r="Q18" s="467">
        <v>163</v>
      </c>
      <c r="R18" s="467">
        <v>27</v>
      </c>
      <c r="S18" s="467">
        <v>383</v>
      </c>
      <c r="T18" s="467">
        <v>49</v>
      </c>
      <c r="U18" s="467">
        <v>446</v>
      </c>
      <c r="V18" s="467">
        <v>8</v>
      </c>
      <c r="W18" s="467">
        <v>17</v>
      </c>
      <c r="X18" s="467">
        <v>2</v>
      </c>
      <c r="Y18" s="467">
        <v>101</v>
      </c>
      <c r="Z18" s="467">
        <v>414</v>
      </c>
      <c r="AA18" s="467">
        <v>43</v>
      </c>
      <c r="AB18" s="467">
        <v>2</v>
      </c>
      <c r="AC18" s="492">
        <v>52</v>
      </c>
      <c r="AD18" s="492">
        <v>62</v>
      </c>
      <c r="AE18" s="492">
        <v>0</v>
      </c>
      <c r="AF18" s="492">
        <v>188</v>
      </c>
      <c r="AG18" s="492">
        <v>88</v>
      </c>
      <c r="AH18" s="492">
        <v>2</v>
      </c>
      <c r="AI18" s="492">
        <v>87</v>
      </c>
      <c r="AJ18" s="492">
        <v>198</v>
      </c>
      <c r="AK18" s="492">
        <v>42</v>
      </c>
      <c r="AL18" s="493">
        <v>19</v>
      </c>
      <c r="AM18" s="492">
        <v>54</v>
      </c>
      <c r="AN18" s="494">
        <v>21</v>
      </c>
      <c r="AO18" s="492">
        <v>278</v>
      </c>
      <c r="AP18" s="494">
        <v>51.6</v>
      </c>
      <c r="AQ18" s="493">
        <v>385.714</v>
      </c>
      <c r="AR18" s="493">
        <v>410.5</v>
      </c>
      <c r="AS18" s="877">
        <v>365</v>
      </c>
      <c r="AT18" s="968">
        <v>593</v>
      </c>
      <c r="AU18" s="989">
        <v>404.3</v>
      </c>
      <c r="AV18" s="978"/>
      <c r="AW18" s="403"/>
      <c r="AX18" s="403"/>
      <c r="AY18" s="403"/>
      <c r="AZ18" s="403"/>
      <c r="BA18" s="403"/>
      <c r="BB18" s="403"/>
      <c r="BC18" s="403"/>
      <c r="BD18" s="403"/>
      <c r="BE18" s="403"/>
      <c r="BF18" s="403"/>
      <c r="BG18" s="403"/>
      <c r="BH18" s="403"/>
      <c r="BI18" s="741"/>
      <c r="BJ18" s="403"/>
      <c r="BK18" s="403"/>
      <c r="BL18" s="403"/>
      <c r="BM18" s="741"/>
      <c r="BN18" s="403"/>
      <c r="BO18" s="403"/>
      <c r="BP18" s="403"/>
      <c r="BQ18" s="403"/>
      <c r="BR18" s="403"/>
      <c r="BS18" s="403"/>
      <c r="BT18" s="403"/>
      <c r="BU18" s="403"/>
      <c r="BV18" s="403"/>
      <c r="BW18" s="403"/>
      <c r="BX18" s="403"/>
      <c r="BY18" s="403"/>
      <c r="BZ18" s="403"/>
      <c r="CA18" s="403"/>
      <c r="CB18" s="403"/>
      <c r="CC18" s="403"/>
      <c r="CD18" s="403"/>
      <c r="CE18" s="403"/>
    </row>
    <row r="19" spans="1:83" ht="13.5" customHeight="1" thickBot="1">
      <c r="A19" s="403"/>
      <c r="B19" s="472"/>
      <c r="C19" s="448" t="s">
        <v>195</v>
      </c>
      <c r="D19" s="506">
        <f t="shared" ca="1" si="1"/>
        <v>0</v>
      </c>
      <c r="E19" s="778">
        <f t="shared" ca="1" si="3"/>
        <v>304.029</v>
      </c>
      <c r="F19" s="475"/>
      <c r="G19" s="475"/>
      <c r="H19" s="476">
        <f t="shared" ca="1" si="2"/>
        <v>389.858</v>
      </c>
      <c r="I19" s="717"/>
      <c r="J19" s="614"/>
      <c r="K19" s="508"/>
      <c r="L19" s="509" t="s">
        <v>305</v>
      </c>
      <c r="M19" s="480">
        <v>107</v>
      </c>
      <c r="N19" s="478">
        <v>29</v>
      </c>
      <c r="O19" s="718">
        <v>172</v>
      </c>
      <c r="P19" s="478">
        <v>74</v>
      </c>
      <c r="Q19" s="478">
        <v>60</v>
      </c>
      <c r="R19" s="478">
        <v>455</v>
      </c>
      <c r="S19" s="478">
        <v>566</v>
      </c>
      <c r="T19" s="478">
        <v>41</v>
      </c>
      <c r="U19" s="478">
        <v>365</v>
      </c>
      <c r="V19" s="478">
        <v>43</v>
      </c>
      <c r="W19" s="478">
        <v>32</v>
      </c>
      <c r="X19" s="478">
        <v>20</v>
      </c>
      <c r="Y19" s="478">
        <v>140</v>
      </c>
      <c r="Z19" s="478">
        <v>218</v>
      </c>
      <c r="AA19" s="478">
        <v>38</v>
      </c>
      <c r="AB19" s="478">
        <v>4</v>
      </c>
      <c r="AC19" s="510">
        <v>146</v>
      </c>
      <c r="AD19" s="510">
        <v>41</v>
      </c>
      <c r="AE19" s="510">
        <v>1</v>
      </c>
      <c r="AF19" s="510">
        <v>160</v>
      </c>
      <c r="AG19" s="510">
        <v>103</v>
      </c>
      <c r="AH19" s="510">
        <v>14</v>
      </c>
      <c r="AI19" s="510">
        <v>164</v>
      </c>
      <c r="AJ19" s="510">
        <v>229</v>
      </c>
      <c r="AK19" s="510">
        <v>41</v>
      </c>
      <c r="AL19" s="511">
        <v>51</v>
      </c>
      <c r="AM19" s="510">
        <v>172</v>
      </c>
      <c r="AN19" s="512">
        <v>168</v>
      </c>
      <c r="AO19" s="510">
        <v>428</v>
      </c>
      <c r="AP19" s="512">
        <v>272</v>
      </c>
      <c r="AQ19" s="511">
        <v>745.29</v>
      </c>
      <c r="AR19" s="511">
        <v>100</v>
      </c>
      <c r="AS19" s="878">
        <v>635</v>
      </c>
      <c r="AT19" s="969">
        <v>306</v>
      </c>
      <c r="AU19" s="990">
        <v>163</v>
      </c>
      <c r="AV19" s="979"/>
      <c r="AW19" s="403"/>
      <c r="AX19" s="403"/>
      <c r="AY19" s="403"/>
      <c r="AZ19" s="403"/>
      <c r="BA19" s="403"/>
      <c r="BB19" s="403"/>
      <c r="BC19" s="403"/>
      <c r="BD19" s="403"/>
      <c r="BE19" s="403"/>
      <c r="BF19" s="403"/>
      <c r="BG19" s="403"/>
      <c r="BH19" s="403"/>
      <c r="BI19" s="403"/>
      <c r="BJ19" s="403"/>
      <c r="BK19" s="741"/>
      <c r="BL19" s="741"/>
      <c r="BM19" s="403"/>
      <c r="BN19" s="741"/>
      <c r="BO19" s="741"/>
      <c r="BP19" s="403"/>
      <c r="BQ19" s="403"/>
      <c r="BR19" s="403"/>
      <c r="BS19" s="403"/>
      <c r="BT19" s="403"/>
      <c r="BU19" s="403"/>
      <c r="BV19" s="403"/>
      <c r="BW19" s="403"/>
      <c r="BX19" s="403"/>
      <c r="BY19" s="403"/>
      <c r="BZ19" s="403"/>
      <c r="CA19" s="403"/>
      <c r="CB19" s="403"/>
      <c r="CC19" s="403"/>
      <c r="CD19" s="403"/>
      <c r="CE19" s="403"/>
    </row>
    <row r="20" spans="1:83" ht="13.5" customHeight="1">
      <c r="A20" s="403"/>
      <c r="B20" s="407"/>
      <c r="C20" s="450" t="s">
        <v>189</v>
      </c>
      <c r="D20" s="482">
        <f t="shared" ca="1" si="1"/>
        <v>0</v>
      </c>
      <c r="E20" s="777">
        <f t="shared" ca="1" si="3"/>
        <v>338.5</v>
      </c>
      <c r="F20" s="453"/>
      <c r="G20" s="453"/>
      <c r="H20" s="454">
        <f t="shared" ca="1" si="2"/>
        <v>332.8</v>
      </c>
      <c r="I20" s="715"/>
      <c r="J20" s="614"/>
      <c r="K20" s="434"/>
      <c r="L20" s="484" t="s">
        <v>300</v>
      </c>
      <c r="M20" s="719">
        <v>524</v>
      </c>
      <c r="N20" s="517">
        <v>21</v>
      </c>
      <c r="O20" s="720">
        <v>270</v>
      </c>
      <c r="P20" s="517">
        <v>439</v>
      </c>
      <c r="Q20" s="517">
        <v>437</v>
      </c>
      <c r="R20" s="517">
        <v>140</v>
      </c>
      <c r="S20" s="517">
        <v>176</v>
      </c>
      <c r="T20" s="517">
        <v>34</v>
      </c>
      <c r="U20" s="517">
        <v>261</v>
      </c>
      <c r="V20" s="517">
        <v>59</v>
      </c>
      <c r="W20" s="517">
        <v>118</v>
      </c>
      <c r="X20" s="517">
        <v>109</v>
      </c>
      <c r="Y20" s="517">
        <v>307</v>
      </c>
      <c r="Z20" s="517">
        <v>20</v>
      </c>
      <c r="AA20" s="517">
        <v>102</v>
      </c>
      <c r="AB20" s="517">
        <v>24</v>
      </c>
      <c r="AC20" s="518">
        <v>213</v>
      </c>
      <c r="AD20" s="518">
        <v>30</v>
      </c>
      <c r="AE20" s="518">
        <v>0</v>
      </c>
      <c r="AF20" s="518">
        <v>67</v>
      </c>
      <c r="AG20" s="518">
        <v>63</v>
      </c>
      <c r="AH20" s="518">
        <v>57</v>
      </c>
      <c r="AI20" s="518">
        <v>145</v>
      </c>
      <c r="AJ20" s="518">
        <v>217</v>
      </c>
      <c r="AK20" s="518">
        <v>319</v>
      </c>
      <c r="AL20" s="519">
        <v>163</v>
      </c>
      <c r="AM20" s="518">
        <v>379</v>
      </c>
      <c r="AN20" s="520">
        <v>239</v>
      </c>
      <c r="AO20" s="518">
        <v>592</v>
      </c>
      <c r="AP20" s="520">
        <v>348</v>
      </c>
      <c r="AQ20" s="519">
        <v>379</v>
      </c>
      <c r="AR20" s="519">
        <v>56</v>
      </c>
      <c r="AS20" s="876">
        <v>619</v>
      </c>
      <c r="AT20" s="967">
        <v>261</v>
      </c>
      <c r="AU20" s="988">
        <v>349</v>
      </c>
      <c r="AV20" s="977"/>
      <c r="AW20" s="403"/>
      <c r="AX20" s="403"/>
      <c r="AY20" s="403"/>
      <c r="AZ20" s="403"/>
      <c r="BA20" s="403"/>
      <c r="BB20" s="403"/>
      <c r="BC20" s="403"/>
      <c r="BD20" s="403"/>
      <c r="BE20" s="741"/>
      <c r="BF20" s="741"/>
      <c r="BG20" s="741"/>
      <c r="BH20" s="741"/>
      <c r="BI20" s="403"/>
      <c r="BJ20" s="741"/>
      <c r="BK20" s="403"/>
      <c r="BL20" s="403"/>
      <c r="BM20" s="403"/>
      <c r="BN20" s="403"/>
      <c r="BO20" s="403"/>
      <c r="BP20" s="741"/>
      <c r="BQ20" s="741"/>
      <c r="BR20" s="741"/>
      <c r="BS20" s="741"/>
      <c r="BT20" s="403"/>
      <c r="BU20" s="403"/>
      <c r="BV20" s="403"/>
      <c r="BW20" s="403"/>
      <c r="BX20" s="403"/>
      <c r="BY20" s="403"/>
      <c r="BZ20" s="403"/>
      <c r="CA20" s="403"/>
      <c r="CB20" s="403"/>
      <c r="CC20" s="403"/>
      <c r="CD20" s="403"/>
      <c r="CE20" s="403"/>
    </row>
    <row r="21" spans="1:83" ht="13.5" customHeight="1">
      <c r="A21" s="403"/>
      <c r="B21" s="408"/>
      <c r="C21" s="461" t="s">
        <v>190</v>
      </c>
      <c r="D21" s="482">
        <f t="shared" ca="1" si="1"/>
        <v>0</v>
      </c>
      <c r="E21" s="777">
        <f t="shared" ca="1" si="3"/>
        <v>349.7</v>
      </c>
      <c r="F21" s="464"/>
      <c r="G21" s="464"/>
      <c r="H21" s="465">
        <f t="shared" ca="1" si="2"/>
        <v>213.8</v>
      </c>
      <c r="I21" s="715"/>
      <c r="J21" s="614"/>
      <c r="K21" s="490"/>
      <c r="L21" s="491" t="s">
        <v>301</v>
      </c>
      <c r="M21" s="469">
        <v>118</v>
      </c>
      <c r="N21" s="467">
        <v>290</v>
      </c>
      <c r="O21" s="716">
        <v>439</v>
      </c>
      <c r="P21" s="467">
        <v>616</v>
      </c>
      <c r="Q21" s="467">
        <v>153</v>
      </c>
      <c r="R21" s="467">
        <v>228</v>
      </c>
      <c r="S21" s="467">
        <v>447</v>
      </c>
      <c r="T21" s="467">
        <v>31</v>
      </c>
      <c r="U21" s="467">
        <v>1822</v>
      </c>
      <c r="V21" s="467">
        <v>43</v>
      </c>
      <c r="W21" s="467">
        <v>106</v>
      </c>
      <c r="X21" s="467">
        <v>112</v>
      </c>
      <c r="Y21" s="467">
        <v>85</v>
      </c>
      <c r="Z21" s="467">
        <v>3</v>
      </c>
      <c r="AA21" s="467">
        <v>89</v>
      </c>
      <c r="AB21" s="467">
        <v>21</v>
      </c>
      <c r="AC21" s="492">
        <v>147</v>
      </c>
      <c r="AD21" s="492">
        <v>10</v>
      </c>
      <c r="AE21" s="492">
        <v>2</v>
      </c>
      <c r="AF21" s="492">
        <v>46</v>
      </c>
      <c r="AG21" s="492">
        <v>160</v>
      </c>
      <c r="AH21" s="492">
        <v>89</v>
      </c>
      <c r="AI21" s="492">
        <v>110</v>
      </c>
      <c r="AJ21" s="492">
        <v>129</v>
      </c>
      <c r="AK21" s="492">
        <v>103</v>
      </c>
      <c r="AL21" s="493">
        <v>86</v>
      </c>
      <c r="AM21" s="492">
        <v>589</v>
      </c>
      <c r="AN21" s="494">
        <v>214</v>
      </c>
      <c r="AO21" s="492">
        <v>1264</v>
      </c>
      <c r="AP21" s="494">
        <v>275</v>
      </c>
      <c r="AQ21" s="493">
        <v>37</v>
      </c>
      <c r="AR21" s="493">
        <v>12</v>
      </c>
      <c r="AS21" s="877">
        <v>677</v>
      </c>
      <c r="AT21" s="968">
        <v>58</v>
      </c>
      <c r="AU21" s="989">
        <v>285</v>
      </c>
      <c r="AV21" s="978"/>
      <c r="AW21" s="403"/>
      <c r="AX21" s="741"/>
      <c r="AY21" s="741"/>
      <c r="AZ21" s="741"/>
      <c r="BA21" s="741"/>
      <c r="BB21" s="741"/>
      <c r="BC21" s="741"/>
      <c r="BD21" s="741"/>
      <c r="BE21" s="403"/>
      <c r="BF21" s="403"/>
      <c r="BG21" s="403"/>
      <c r="BH21" s="403"/>
      <c r="BI21" s="403"/>
      <c r="BJ21" s="403"/>
      <c r="BK21" s="403"/>
      <c r="BL21" s="403"/>
      <c r="BM21" s="403"/>
      <c r="BN21" s="403"/>
      <c r="BO21" s="403"/>
      <c r="BP21" s="403"/>
      <c r="BQ21" s="403"/>
      <c r="BR21" s="403"/>
      <c r="BS21" s="403"/>
      <c r="BT21" s="741"/>
      <c r="BU21" s="741"/>
      <c r="BV21" s="741"/>
      <c r="BW21" s="741"/>
      <c r="BX21" s="741"/>
      <c r="BY21" s="403"/>
      <c r="BZ21" s="403"/>
      <c r="CA21" s="403"/>
      <c r="CB21" s="403"/>
      <c r="CC21" s="403"/>
      <c r="CD21" s="403"/>
      <c r="CE21" s="403"/>
    </row>
    <row r="22" spans="1:83" ht="13.5" customHeight="1">
      <c r="A22" s="403"/>
      <c r="B22" s="408" t="s">
        <v>197</v>
      </c>
      <c r="C22" s="461" t="s">
        <v>192</v>
      </c>
      <c r="D22" s="482">
        <f t="shared" ca="1" si="1"/>
        <v>0</v>
      </c>
      <c r="E22" s="777">
        <f t="shared" ca="1" si="3"/>
        <v>176.4</v>
      </c>
      <c r="F22" s="464"/>
      <c r="G22" s="464"/>
      <c r="H22" s="465">
        <f t="shared" ca="1" si="2"/>
        <v>114.2</v>
      </c>
      <c r="I22" s="715"/>
      <c r="J22" s="614"/>
      <c r="K22" s="490" t="s">
        <v>197</v>
      </c>
      <c r="L22" s="491" t="s">
        <v>302</v>
      </c>
      <c r="M22" s="469">
        <v>6</v>
      </c>
      <c r="N22" s="467">
        <v>806</v>
      </c>
      <c r="O22" s="716">
        <v>546</v>
      </c>
      <c r="P22" s="467">
        <v>375</v>
      </c>
      <c r="Q22" s="467">
        <v>117</v>
      </c>
      <c r="R22" s="467">
        <v>112</v>
      </c>
      <c r="S22" s="467">
        <v>282</v>
      </c>
      <c r="T22" s="467">
        <v>34</v>
      </c>
      <c r="U22" s="467">
        <v>693</v>
      </c>
      <c r="V22" s="467">
        <v>14</v>
      </c>
      <c r="W22" s="467">
        <v>33</v>
      </c>
      <c r="X22" s="467">
        <v>430</v>
      </c>
      <c r="Y22" s="467">
        <v>46</v>
      </c>
      <c r="Z22" s="467">
        <v>0</v>
      </c>
      <c r="AA22" s="467">
        <v>30</v>
      </c>
      <c r="AB22" s="467">
        <v>25</v>
      </c>
      <c r="AC22" s="492">
        <v>54</v>
      </c>
      <c r="AD22" s="492">
        <v>1</v>
      </c>
      <c r="AE22" s="492">
        <v>5</v>
      </c>
      <c r="AF22" s="492">
        <v>10</v>
      </c>
      <c r="AG22" s="492">
        <v>55</v>
      </c>
      <c r="AH22" s="492">
        <v>134</v>
      </c>
      <c r="AI22" s="492">
        <v>21</v>
      </c>
      <c r="AJ22" s="492">
        <v>28</v>
      </c>
      <c r="AK22" s="492">
        <v>57</v>
      </c>
      <c r="AL22" s="493">
        <v>43</v>
      </c>
      <c r="AM22" s="492">
        <v>412</v>
      </c>
      <c r="AN22" s="494">
        <v>46</v>
      </c>
      <c r="AO22" s="492">
        <v>460</v>
      </c>
      <c r="AP22" s="494">
        <v>232</v>
      </c>
      <c r="AQ22" s="493">
        <v>63</v>
      </c>
      <c r="AR22" s="493">
        <v>1</v>
      </c>
      <c r="AS22" s="877">
        <v>242</v>
      </c>
      <c r="AT22" s="968">
        <v>133</v>
      </c>
      <c r="AU22" s="989">
        <v>132</v>
      </c>
      <c r="AV22" s="978"/>
      <c r="AW22" s="741"/>
      <c r="AX22" s="403"/>
      <c r="AY22" s="403"/>
      <c r="AZ22" s="403"/>
      <c r="BA22" s="403"/>
      <c r="BB22" s="403"/>
      <c r="BC22" s="403"/>
      <c r="BD22" s="403"/>
      <c r="BE22" s="403"/>
      <c r="BF22" s="403"/>
      <c r="BG22" s="403"/>
      <c r="BH22" s="403"/>
      <c r="BI22" s="403"/>
      <c r="BJ22" s="403"/>
      <c r="BK22" s="403"/>
      <c r="BL22" s="403"/>
      <c r="BM22" s="403"/>
      <c r="BN22" s="403"/>
      <c r="BO22" s="403"/>
      <c r="BP22" s="403"/>
      <c r="BQ22" s="403"/>
      <c r="BR22" s="403"/>
      <c r="BS22" s="403"/>
      <c r="BT22" s="403"/>
      <c r="BU22" s="403"/>
      <c r="BV22" s="403"/>
      <c r="BW22" s="403"/>
      <c r="BX22" s="403"/>
      <c r="BY22" s="403"/>
      <c r="BZ22" s="403"/>
      <c r="CA22" s="403"/>
      <c r="CB22" s="403"/>
      <c r="CC22" s="403"/>
      <c r="CD22" s="403"/>
      <c r="CE22" s="403"/>
    </row>
    <row r="23" spans="1:83" ht="13.5" customHeight="1">
      <c r="A23" s="403"/>
      <c r="B23" s="408"/>
      <c r="C23" s="461" t="s">
        <v>193</v>
      </c>
      <c r="D23" s="482">
        <f t="shared" ca="1" si="1"/>
        <v>0</v>
      </c>
      <c r="E23" s="777">
        <f t="shared" ca="1" si="3"/>
        <v>49.43</v>
      </c>
      <c r="F23" s="464"/>
      <c r="G23" s="464"/>
      <c r="H23" s="465">
        <f t="shared" ca="1" si="2"/>
        <v>29.660000000000004</v>
      </c>
      <c r="I23" s="715"/>
      <c r="J23" s="614"/>
      <c r="K23" s="490"/>
      <c r="L23" s="491" t="s">
        <v>303</v>
      </c>
      <c r="M23" s="469">
        <v>0</v>
      </c>
      <c r="N23" s="467">
        <v>424</v>
      </c>
      <c r="O23" s="716">
        <v>426</v>
      </c>
      <c r="P23" s="467">
        <v>353</v>
      </c>
      <c r="Q23" s="467">
        <v>7</v>
      </c>
      <c r="R23" s="467">
        <v>22</v>
      </c>
      <c r="S23" s="467">
        <v>143</v>
      </c>
      <c r="T23" s="467">
        <v>4</v>
      </c>
      <c r="U23" s="467">
        <v>119</v>
      </c>
      <c r="V23" s="467">
        <v>18</v>
      </c>
      <c r="W23" s="467">
        <v>29</v>
      </c>
      <c r="X23" s="467">
        <v>246</v>
      </c>
      <c r="Y23" s="467">
        <v>2</v>
      </c>
      <c r="Z23" s="467">
        <v>0</v>
      </c>
      <c r="AA23" s="467">
        <v>5</v>
      </c>
      <c r="AB23" s="467">
        <v>13</v>
      </c>
      <c r="AC23" s="492">
        <v>7</v>
      </c>
      <c r="AD23" s="492">
        <v>1</v>
      </c>
      <c r="AE23" s="492">
        <v>9</v>
      </c>
      <c r="AF23" s="492">
        <v>2</v>
      </c>
      <c r="AG23" s="492">
        <v>15</v>
      </c>
      <c r="AH23" s="492">
        <v>135</v>
      </c>
      <c r="AI23" s="492">
        <v>3</v>
      </c>
      <c r="AJ23" s="492">
        <v>41</v>
      </c>
      <c r="AK23" s="492">
        <v>14</v>
      </c>
      <c r="AL23" s="493">
        <v>23</v>
      </c>
      <c r="AM23" s="492">
        <v>153</v>
      </c>
      <c r="AN23" s="494">
        <v>29</v>
      </c>
      <c r="AO23" s="492">
        <v>82</v>
      </c>
      <c r="AP23" s="494">
        <v>59</v>
      </c>
      <c r="AQ23" s="493">
        <v>19</v>
      </c>
      <c r="AR23" s="493">
        <v>0</v>
      </c>
      <c r="AS23" s="877">
        <v>108.3</v>
      </c>
      <c r="AT23" s="968">
        <v>5</v>
      </c>
      <c r="AU23" s="989">
        <v>16</v>
      </c>
      <c r="AV23" s="978"/>
      <c r="AW23" s="403"/>
      <c r="AX23" s="403"/>
      <c r="AY23" s="403"/>
      <c r="AZ23" s="403"/>
      <c r="BA23" s="403"/>
      <c r="BB23" s="403"/>
      <c r="BC23" s="403"/>
      <c r="BD23" s="403"/>
      <c r="BE23" s="403"/>
      <c r="BF23" s="403"/>
      <c r="BG23" s="403"/>
      <c r="BH23" s="403"/>
      <c r="BI23" s="403"/>
      <c r="BJ23" s="403"/>
      <c r="BK23" s="403"/>
      <c r="BL23" s="403"/>
      <c r="BM23" s="403"/>
      <c r="BN23" s="403"/>
      <c r="BO23" s="403"/>
      <c r="BP23" s="403"/>
      <c r="BQ23" s="403"/>
      <c r="BR23" s="403"/>
      <c r="BS23" s="403"/>
      <c r="BT23" s="403"/>
      <c r="BU23" s="403"/>
      <c r="BV23" s="403"/>
      <c r="BW23" s="403"/>
      <c r="BX23" s="403"/>
      <c r="BY23" s="403"/>
      <c r="BZ23" s="403"/>
      <c r="CA23" s="403"/>
      <c r="CB23" s="403"/>
      <c r="CC23" s="403"/>
      <c r="CD23" s="403"/>
      <c r="CE23" s="403"/>
    </row>
    <row r="24" spans="1:83" ht="13.5" customHeight="1">
      <c r="A24" s="403"/>
      <c r="B24" s="408"/>
      <c r="C24" s="461" t="s">
        <v>194</v>
      </c>
      <c r="D24" s="482">
        <f t="shared" ca="1" si="1"/>
        <v>0</v>
      </c>
      <c r="E24" s="777">
        <f t="shared" ca="1" si="3"/>
        <v>12.437000000000001</v>
      </c>
      <c r="F24" s="464"/>
      <c r="G24" s="464"/>
      <c r="H24" s="465">
        <f t="shared" ca="1" si="2"/>
        <v>5.274</v>
      </c>
      <c r="I24" s="715"/>
      <c r="J24" s="614"/>
      <c r="K24" s="490"/>
      <c r="L24" s="491" t="s">
        <v>304</v>
      </c>
      <c r="M24" s="469">
        <v>14</v>
      </c>
      <c r="N24" s="467">
        <v>77</v>
      </c>
      <c r="O24" s="716">
        <v>222</v>
      </c>
      <c r="P24" s="467">
        <v>56</v>
      </c>
      <c r="Q24" s="467">
        <v>4</v>
      </c>
      <c r="R24" s="467">
        <v>3</v>
      </c>
      <c r="S24" s="467">
        <v>11</v>
      </c>
      <c r="T24" s="467">
        <v>6</v>
      </c>
      <c r="U24" s="467">
        <v>9</v>
      </c>
      <c r="V24" s="467">
        <v>10</v>
      </c>
      <c r="W24" s="467">
        <v>5</v>
      </c>
      <c r="X24" s="467">
        <v>73</v>
      </c>
      <c r="Y24" s="467">
        <v>3</v>
      </c>
      <c r="Z24" s="467">
        <v>1</v>
      </c>
      <c r="AA24" s="467">
        <v>2</v>
      </c>
      <c r="AB24" s="467">
        <v>7</v>
      </c>
      <c r="AC24" s="492">
        <v>2</v>
      </c>
      <c r="AD24" s="492">
        <v>2</v>
      </c>
      <c r="AE24" s="492">
        <v>0</v>
      </c>
      <c r="AF24" s="492">
        <v>0</v>
      </c>
      <c r="AG24" s="492">
        <v>15</v>
      </c>
      <c r="AH24" s="492">
        <v>44</v>
      </c>
      <c r="AI24" s="492">
        <v>2</v>
      </c>
      <c r="AJ24" s="492">
        <v>2</v>
      </c>
      <c r="AK24" s="492">
        <v>18</v>
      </c>
      <c r="AL24" s="493">
        <v>17</v>
      </c>
      <c r="AM24" s="492">
        <v>24</v>
      </c>
      <c r="AN24" s="494">
        <v>8</v>
      </c>
      <c r="AO24" s="492">
        <v>26</v>
      </c>
      <c r="AP24" s="494">
        <v>23</v>
      </c>
      <c r="AQ24" s="493">
        <v>1.67</v>
      </c>
      <c r="AR24" s="493">
        <v>0</v>
      </c>
      <c r="AS24" s="877">
        <v>22</v>
      </c>
      <c r="AT24" s="968">
        <v>1</v>
      </c>
      <c r="AU24" s="989">
        <v>1.7</v>
      </c>
      <c r="AV24" s="978"/>
      <c r="AW24" s="403"/>
      <c r="AX24" s="403"/>
      <c r="AY24" s="403"/>
      <c r="AZ24" s="403"/>
      <c r="BA24" s="403"/>
      <c r="BB24" s="403"/>
      <c r="BC24" s="403"/>
      <c r="BD24" s="403"/>
      <c r="BE24" s="403"/>
      <c r="BF24" s="403"/>
      <c r="BG24" s="403"/>
      <c r="BH24" s="403"/>
      <c r="BI24" s="403"/>
      <c r="BJ24" s="403"/>
      <c r="BK24" s="403"/>
      <c r="BL24" s="403"/>
      <c r="BM24" s="403"/>
      <c r="BN24" s="403"/>
      <c r="BO24" s="403"/>
      <c r="BP24" s="403"/>
      <c r="BQ24" s="403"/>
      <c r="BR24" s="403"/>
      <c r="BS24" s="403"/>
      <c r="BT24" s="403"/>
      <c r="BU24" s="403"/>
      <c r="BV24" s="403"/>
      <c r="BW24" s="403"/>
      <c r="BX24" s="403"/>
      <c r="BY24" s="403"/>
      <c r="BZ24" s="403"/>
      <c r="CA24" s="403"/>
      <c r="CB24" s="403"/>
      <c r="CC24" s="403"/>
      <c r="CD24" s="403"/>
      <c r="CE24" s="403"/>
    </row>
    <row r="25" spans="1:83" ht="13.5" customHeight="1" thickBot="1">
      <c r="A25" s="403"/>
      <c r="B25" s="472"/>
      <c r="C25" s="523" t="s">
        <v>195</v>
      </c>
      <c r="D25" s="506">
        <f t="shared" ca="1" si="1"/>
        <v>0</v>
      </c>
      <c r="E25" s="780">
        <f t="shared" ca="1" si="3"/>
        <v>2.1336666666666666</v>
      </c>
      <c r="F25" s="475"/>
      <c r="G25" s="475"/>
      <c r="H25" s="476">
        <f t="shared" ca="1" si="2"/>
        <v>0.73399999999999999</v>
      </c>
      <c r="I25" s="717"/>
      <c r="J25" s="614"/>
      <c r="K25" s="508"/>
      <c r="L25" s="509" t="s">
        <v>305</v>
      </c>
      <c r="M25" s="419">
        <v>0</v>
      </c>
      <c r="N25" s="478">
        <v>21</v>
      </c>
      <c r="O25" s="721">
        <v>116</v>
      </c>
      <c r="P25" s="428">
        <v>31</v>
      </c>
      <c r="Q25" s="428">
        <v>1</v>
      </c>
      <c r="R25" s="428">
        <v>1</v>
      </c>
      <c r="S25" s="428">
        <v>5</v>
      </c>
      <c r="T25" s="428">
        <v>0</v>
      </c>
      <c r="U25" s="428">
        <v>3</v>
      </c>
      <c r="V25" s="428">
        <v>6</v>
      </c>
      <c r="W25" s="428">
        <v>0</v>
      </c>
      <c r="X25" s="428">
        <v>30</v>
      </c>
      <c r="Y25" s="428">
        <v>0</v>
      </c>
      <c r="Z25" s="428">
        <v>9</v>
      </c>
      <c r="AA25" s="428">
        <v>0</v>
      </c>
      <c r="AB25" s="428">
        <v>0</v>
      </c>
      <c r="AC25" s="524">
        <v>0</v>
      </c>
      <c r="AD25" s="524">
        <v>1</v>
      </c>
      <c r="AE25" s="524">
        <v>0</v>
      </c>
      <c r="AF25" s="524">
        <v>0</v>
      </c>
      <c r="AG25" s="524">
        <v>3</v>
      </c>
      <c r="AH25" s="524">
        <v>3</v>
      </c>
      <c r="AI25" s="524">
        <v>1</v>
      </c>
      <c r="AJ25" s="524">
        <v>0</v>
      </c>
      <c r="AK25" s="524">
        <v>1.67</v>
      </c>
      <c r="AL25" s="722">
        <f>2*(5/6)</f>
        <v>1.6666666666666667</v>
      </c>
      <c r="AM25" s="723">
        <v>8</v>
      </c>
      <c r="AN25" s="724">
        <v>1</v>
      </c>
      <c r="AO25" s="723">
        <v>0</v>
      </c>
      <c r="AP25" s="724">
        <v>7</v>
      </c>
      <c r="AQ25" s="725">
        <v>1.67</v>
      </c>
      <c r="AR25" s="788">
        <v>0</v>
      </c>
      <c r="AS25" s="879">
        <v>1.7</v>
      </c>
      <c r="AT25" s="970">
        <v>0</v>
      </c>
      <c r="AU25" s="991">
        <v>0.3</v>
      </c>
      <c r="AV25" s="980"/>
      <c r="AW25" s="403"/>
      <c r="AX25" s="403"/>
      <c r="AY25" s="403"/>
      <c r="AZ25" s="403"/>
      <c r="BA25" s="403"/>
      <c r="BB25" s="403"/>
      <c r="BC25" s="403"/>
      <c r="BD25" s="403"/>
      <c r="BE25" s="403"/>
      <c r="BF25" s="403"/>
      <c r="BG25" s="403"/>
      <c r="BH25" s="403"/>
      <c r="BI25" s="403"/>
      <c r="BJ25" s="403"/>
      <c r="BK25" s="403"/>
      <c r="BL25" s="403"/>
      <c r="BM25" s="403"/>
      <c r="BN25" s="403"/>
      <c r="BO25" s="403"/>
      <c r="BP25" s="403"/>
      <c r="BQ25" s="403"/>
      <c r="BR25" s="403"/>
      <c r="BS25" s="403"/>
      <c r="BT25" s="403"/>
      <c r="BU25" s="403"/>
      <c r="BV25" s="403"/>
      <c r="BW25" s="403"/>
      <c r="BX25" s="403"/>
      <c r="BY25" s="403"/>
      <c r="BZ25" s="403"/>
      <c r="CA25" s="403"/>
      <c r="CB25" s="403"/>
      <c r="CC25" s="403"/>
      <c r="CD25" s="403"/>
      <c r="CE25" s="403"/>
    </row>
    <row r="26" spans="1:83" ht="13.5" customHeight="1">
      <c r="A26" s="403"/>
      <c r="B26" s="408"/>
      <c r="C26" s="529" t="s">
        <v>189</v>
      </c>
      <c r="D26" s="482">
        <f t="shared" ca="1" si="1"/>
        <v>0</v>
      </c>
      <c r="E26" s="781">
        <f t="shared" ca="1" si="3"/>
        <v>2.0300000000000002</v>
      </c>
      <c r="F26" s="453"/>
      <c r="G26" s="453"/>
      <c r="H26" s="454">
        <f t="shared" ca="1" si="2"/>
        <v>1.46</v>
      </c>
      <c r="I26" s="715"/>
      <c r="J26" s="614"/>
      <c r="K26" s="490"/>
      <c r="L26" s="484" t="s">
        <v>300</v>
      </c>
      <c r="M26" s="459">
        <v>1</v>
      </c>
      <c r="N26" s="517">
        <v>3</v>
      </c>
      <c r="O26" s="714">
        <v>9</v>
      </c>
      <c r="P26" s="457">
        <v>5</v>
      </c>
      <c r="Q26" s="457">
        <v>3</v>
      </c>
      <c r="R26" s="457">
        <v>1</v>
      </c>
      <c r="S26" s="457">
        <v>2</v>
      </c>
      <c r="T26" s="457">
        <v>0</v>
      </c>
      <c r="U26" s="457">
        <v>0</v>
      </c>
      <c r="V26" s="457">
        <v>3</v>
      </c>
      <c r="W26" s="457">
        <v>3</v>
      </c>
      <c r="X26" s="457">
        <v>0</v>
      </c>
      <c r="Y26" s="457">
        <v>0</v>
      </c>
      <c r="Z26" s="457">
        <v>168</v>
      </c>
      <c r="AA26" s="457">
        <v>1</v>
      </c>
      <c r="AB26" s="457">
        <v>0</v>
      </c>
      <c r="AC26" s="485">
        <v>1</v>
      </c>
      <c r="AD26" s="485">
        <v>1</v>
      </c>
      <c r="AE26" s="485">
        <v>2</v>
      </c>
      <c r="AF26" s="485">
        <v>2</v>
      </c>
      <c r="AG26" s="485">
        <v>0</v>
      </c>
      <c r="AH26" s="485">
        <v>0</v>
      </c>
      <c r="AI26" s="485">
        <v>0</v>
      </c>
      <c r="AJ26" s="485">
        <v>0</v>
      </c>
      <c r="AK26" s="485">
        <v>3</v>
      </c>
      <c r="AL26" s="486">
        <v>1</v>
      </c>
      <c r="AM26" s="485">
        <v>3</v>
      </c>
      <c r="AN26" s="487">
        <v>0</v>
      </c>
      <c r="AO26" s="485">
        <v>0</v>
      </c>
      <c r="AP26" s="487">
        <v>9</v>
      </c>
      <c r="AQ26" s="486">
        <v>2.2999999999999998</v>
      </c>
      <c r="AR26" s="519">
        <v>4</v>
      </c>
      <c r="AS26" s="876">
        <v>0</v>
      </c>
      <c r="AT26" s="967">
        <v>0</v>
      </c>
      <c r="AU26" s="988">
        <v>1</v>
      </c>
      <c r="AV26" s="977"/>
      <c r="AW26" s="403"/>
      <c r="AX26" s="403"/>
      <c r="AY26" s="403"/>
      <c r="AZ26" s="403"/>
      <c r="BA26" s="403"/>
      <c r="BB26" s="403"/>
      <c r="BC26" s="403"/>
      <c r="BD26" s="403"/>
      <c r="BE26" s="403"/>
      <c r="BF26" s="403"/>
      <c r="BG26" s="403"/>
      <c r="BH26" s="403"/>
      <c r="BI26" s="403"/>
      <c r="BJ26" s="403"/>
      <c r="BK26" s="403"/>
      <c r="BL26" s="403"/>
      <c r="BM26" s="403"/>
      <c r="BN26" s="403"/>
      <c r="BO26" s="403"/>
      <c r="BP26" s="403"/>
      <c r="BQ26" s="403"/>
      <c r="BR26" s="403"/>
      <c r="BS26" s="403"/>
      <c r="BT26" s="403"/>
      <c r="BU26" s="403"/>
      <c r="BV26" s="403"/>
      <c r="BW26" s="403"/>
      <c r="BX26" s="403"/>
      <c r="BY26" s="403"/>
      <c r="BZ26" s="403"/>
      <c r="CA26" s="403"/>
      <c r="CB26" s="403"/>
      <c r="CC26" s="403"/>
      <c r="CD26" s="403"/>
      <c r="CE26" s="403"/>
    </row>
    <row r="27" spans="1:83" ht="13.5" customHeight="1">
      <c r="A27" s="403"/>
      <c r="B27" s="408"/>
      <c r="C27" s="461" t="s">
        <v>190</v>
      </c>
      <c r="D27" s="482">
        <f t="shared" ca="1" si="1"/>
        <v>0</v>
      </c>
      <c r="E27" s="777">
        <f t="shared" ca="1" si="3"/>
        <v>11.827000000000002</v>
      </c>
      <c r="F27" s="464"/>
      <c r="G27" s="464"/>
      <c r="H27" s="465">
        <f t="shared" ca="1" si="2"/>
        <v>22.520000000000003</v>
      </c>
      <c r="I27" s="715"/>
      <c r="J27" s="614"/>
      <c r="K27" s="490"/>
      <c r="L27" s="491" t="s">
        <v>301</v>
      </c>
      <c r="M27" s="469">
        <v>0</v>
      </c>
      <c r="N27" s="467">
        <v>0</v>
      </c>
      <c r="O27" s="716">
        <v>3</v>
      </c>
      <c r="P27" s="467">
        <v>2</v>
      </c>
      <c r="Q27" s="467">
        <v>0</v>
      </c>
      <c r="R27" s="467">
        <v>4</v>
      </c>
      <c r="S27" s="467">
        <v>2</v>
      </c>
      <c r="T27" s="467">
        <v>0</v>
      </c>
      <c r="U27" s="467">
        <v>0</v>
      </c>
      <c r="V27" s="467">
        <v>1</v>
      </c>
      <c r="W27" s="467">
        <v>0</v>
      </c>
      <c r="X27" s="467">
        <v>3</v>
      </c>
      <c r="Y27" s="467">
        <v>0</v>
      </c>
      <c r="Z27" s="467">
        <v>196</v>
      </c>
      <c r="AA27" s="467">
        <v>5</v>
      </c>
      <c r="AB27" s="467">
        <v>2</v>
      </c>
      <c r="AC27" s="492">
        <v>5</v>
      </c>
      <c r="AD27" s="492">
        <v>3</v>
      </c>
      <c r="AE27" s="492">
        <v>2</v>
      </c>
      <c r="AF27" s="492">
        <v>11</v>
      </c>
      <c r="AG27" s="492">
        <v>2</v>
      </c>
      <c r="AH27" s="492">
        <v>0</v>
      </c>
      <c r="AI27" s="492">
        <v>1</v>
      </c>
      <c r="AJ27" s="492">
        <v>1</v>
      </c>
      <c r="AK27" s="492">
        <v>7</v>
      </c>
      <c r="AL27" s="493">
        <v>1</v>
      </c>
      <c r="AM27" s="492">
        <v>3</v>
      </c>
      <c r="AN27" s="494">
        <v>0</v>
      </c>
      <c r="AO27" s="492">
        <v>0</v>
      </c>
      <c r="AP27" s="494">
        <v>1.67</v>
      </c>
      <c r="AQ27" s="493">
        <v>1.7</v>
      </c>
      <c r="AR27" s="493">
        <v>70.7</v>
      </c>
      <c r="AS27" s="877">
        <v>19.2</v>
      </c>
      <c r="AT27" s="968">
        <v>13</v>
      </c>
      <c r="AU27" s="989">
        <v>8</v>
      </c>
      <c r="AV27" s="978"/>
      <c r="AW27" s="403"/>
      <c r="AX27" s="403"/>
      <c r="AY27" s="403"/>
      <c r="AZ27" s="403"/>
      <c r="BA27" s="403"/>
      <c r="BB27" s="403"/>
      <c r="BC27" s="403"/>
      <c r="BD27" s="403"/>
      <c r="BE27" s="403"/>
      <c r="BF27" s="403"/>
      <c r="BG27" s="403"/>
      <c r="BH27" s="403"/>
      <c r="BI27" s="403"/>
      <c r="BJ27" s="403"/>
      <c r="BK27" s="403"/>
      <c r="BL27" s="403"/>
      <c r="BM27" s="403"/>
      <c r="BN27" s="403"/>
      <c r="BO27" s="403"/>
      <c r="BP27" s="403"/>
      <c r="BQ27" s="403"/>
      <c r="BR27" s="403"/>
      <c r="BS27" s="403"/>
      <c r="BT27" s="403"/>
      <c r="BU27" s="403"/>
      <c r="BV27" s="403"/>
      <c r="BW27" s="403"/>
      <c r="BX27" s="403"/>
      <c r="BY27" s="403"/>
      <c r="BZ27" s="403"/>
      <c r="CA27" s="403"/>
      <c r="CB27" s="403"/>
      <c r="CC27" s="403"/>
      <c r="CD27" s="403"/>
      <c r="CE27" s="403"/>
    </row>
    <row r="28" spans="1:83" ht="13.5" customHeight="1">
      <c r="A28" s="403"/>
      <c r="B28" s="408" t="s">
        <v>199</v>
      </c>
      <c r="C28" s="461" t="s">
        <v>192</v>
      </c>
      <c r="D28" s="482">
        <f t="shared" ca="1" si="1"/>
        <v>0</v>
      </c>
      <c r="E28" s="777">
        <f t="shared" ca="1" si="3"/>
        <v>71.28</v>
      </c>
      <c r="F28" s="464"/>
      <c r="G28" s="464"/>
      <c r="H28" s="465">
        <f t="shared" ca="1" si="2"/>
        <v>117.36000000000001</v>
      </c>
      <c r="I28" s="715"/>
      <c r="J28" s="614"/>
      <c r="K28" s="490" t="s">
        <v>199</v>
      </c>
      <c r="L28" s="491" t="s">
        <v>302</v>
      </c>
      <c r="M28" s="469">
        <v>27</v>
      </c>
      <c r="N28" s="467">
        <v>9</v>
      </c>
      <c r="O28" s="716">
        <v>3</v>
      </c>
      <c r="P28" s="467">
        <v>5</v>
      </c>
      <c r="Q28" s="467">
        <v>18</v>
      </c>
      <c r="R28" s="467">
        <v>21</v>
      </c>
      <c r="S28" s="467">
        <v>48</v>
      </c>
      <c r="T28" s="467">
        <v>1</v>
      </c>
      <c r="U28" s="467">
        <v>0</v>
      </c>
      <c r="V28" s="467">
        <v>7</v>
      </c>
      <c r="W28" s="467">
        <v>0</v>
      </c>
      <c r="X28" s="467">
        <v>2</v>
      </c>
      <c r="Y28" s="467">
        <v>39</v>
      </c>
      <c r="Z28" s="467">
        <v>214</v>
      </c>
      <c r="AA28" s="467">
        <v>80</v>
      </c>
      <c r="AB28" s="467">
        <v>4</v>
      </c>
      <c r="AC28" s="492">
        <v>32</v>
      </c>
      <c r="AD28" s="492">
        <v>18</v>
      </c>
      <c r="AE28" s="492">
        <v>4</v>
      </c>
      <c r="AF28" s="492">
        <v>97</v>
      </c>
      <c r="AG28" s="492">
        <v>50</v>
      </c>
      <c r="AH28" s="492">
        <v>0</v>
      </c>
      <c r="AI28" s="492">
        <v>6</v>
      </c>
      <c r="AJ28" s="492">
        <v>62</v>
      </c>
      <c r="AK28" s="492">
        <v>24</v>
      </c>
      <c r="AL28" s="493">
        <v>5</v>
      </c>
      <c r="AM28" s="492">
        <v>7</v>
      </c>
      <c r="AN28" s="494">
        <v>1</v>
      </c>
      <c r="AO28" s="492">
        <v>83</v>
      </c>
      <c r="AP28" s="494">
        <v>30</v>
      </c>
      <c r="AQ28" s="493">
        <v>22.3</v>
      </c>
      <c r="AR28" s="493">
        <v>157.30000000000001</v>
      </c>
      <c r="AS28" s="877">
        <v>188.1</v>
      </c>
      <c r="AT28" s="968">
        <v>59.1</v>
      </c>
      <c r="AU28" s="989">
        <v>160</v>
      </c>
      <c r="AV28" s="978"/>
      <c r="AW28" s="403"/>
      <c r="AX28" s="403"/>
      <c r="AY28" s="403"/>
      <c r="AZ28" s="403"/>
      <c r="BA28" s="403"/>
      <c r="BB28" s="403"/>
      <c r="BC28" s="403"/>
      <c r="BD28" s="403"/>
      <c r="BE28" s="403"/>
      <c r="BF28" s="403"/>
      <c r="BG28" s="403"/>
      <c r="BH28" s="403"/>
      <c r="BI28" s="403"/>
      <c r="BJ28" s="403"/>
      <c r="BK28" s="403"/>
      <c r="BL28" s="403"/>
      <c r="BM28" s="403"/>
      <c r="BN28" s="403"/>
      <c r="BO28" s="403"/>
      <c r="BP28" s="403"/>
      <c r="BQ28" s="403"/>
      <c r="BR28" s="403"/>
      <c r="BS28" s="403"/>
      <c r="BT28" s="403"/>
      <c r="BU28" s="403"/>
      <c r="BV28" s="403"/>
      <c r="BW28" s="403"/>
      <c r="BX28" s="403"/>
      <c r="BY28" s="403"/>
      <c r="BZ28" s="403"/>
      <c r="CA28" s="403"/>
      <c r="CB28" s="403"/>
      <c r="CC28" s="403"/>
      <c r="CD28" s="403"/>
      <c r="CE28" s="403"/>
    </row>
    <row r="29" spans="1:83" ht="13.5" customHeight="1">
      <c r="A29" s="403"/>
      <c r="B29" s="408"/>
      <c r="C29" s="461" t="s">
        <v>193</v>
      </c>
      <c r="D29" s="482">
        <f t="shared" ca="1" si="1"/>
        <v>0</v>
      </c>
      <c r="E29" s="777">
        <f t="shared" ca="1" si="3"/>
        <v>175.93</v>
      </c>
      <c r="F29" s="464"/>
      <c r="G29" s="464"/>
      <c r="H29" s="465">
        <f t="shared" ca="1" si="2"/>
        <v>232.66</v>
      </c>
      <c r="I29" s="715"/>
      <c r="J29" s="614"/>
      <c r="K29" s="490"/>
      <c r="L29" s="491" t="s">
        <v>303</v>
      </c>
      <c r="M29" s="469">
        <v>29</v>
      </c>
      <c r="N29" s="467">
        <v>113</v>
      </c>
      <c r="O29" s="716">
        <v>34</v>
      </c>
      <c r="P29" s="467">
        <v>69</v>
      </c>
      <c r="Q29" s="467">
        <v>57</v>
      </c>
      <c r="R29" s="467">
        <v>95</v>
      </c>
      <c r="S29" s="467">
        <v>424</v>
      </c>
      <c r="T29" s="467">
        <v>11</v>
      </c>
      <c r="U29" s="467">
        <v>28</v>
      </c>
      <c r="V29" s="467">
        <v>15</v>
      </c>
      <c r="W29" s="467">
        <v>14</v>
      </c>
      <c r="X29" s="467">
        <v>5</v>
      </c>
      <c r="Y29" s="467">
        <v>55</v>
      </c>
      <c r="Z29" s="467">
        <v>93</v>
      </c>
      <c r="AA29" s="467">
        <v>270</v>
      </c>
      <c r="AB29" s="467">
        <v>5</v>
      </c>
      <c r="AC29" s="492">
        <v>150</v>
      </c>
      <c r="AD29" s="492">
        <v>21</v>
      </c>
      <c r="AE29" s="492">
        <v>19</v>
      </c>
      <c r="AF29" s="492">
        <v>82</v>
      </c>
      <c r="AG29" s="492">
        <v>178</v>
      </c>
      <c r="AH29" s="492">
        <v>4</v>
      </c>
      <c r="AI29" s="492">
        <v>120</v>
      </c>
      <c r="AJ29" s="492">
        <v>93</v>
      </c>
      <c r="AK29" s="492">
        <v>27</v>
      </c>
      <c r="AL29" s="493">
        <v>4</v>
      </c>
      <c r="AM29" s="492">
        <v>95</v>
      </c>
      <c r="AN29" s="494">
        <v>0</v>
      </c>
      <c r="AO29" s="492">
        <v>223</v>
      </c>
      <c r="AP29" s="494">
        <v>274</v>
      </c>
      <c r="AQ29" s="493">
        <v>37</v>
      </c>
      <c r="AR29" s="493">
        <v>202.8</v>
      </c>
      <c r="AS29" s="877">
        <v>530.79999999999995</v>
      </c>
      <c r="AT29" s="968">
        <v>85.7</v>
      </c>
      <c r="AU29" s="989">
        <v>307</v>
      </c>
      <c r="AV29" s="978"/>
      <c r="AW29" s="403"/>
      <c r="AX29" s="403"/>
      <c r="AY29" s="403"/>
      <c r="AZ29" s="403"/>
      <c r="BA29" s="403"/>
      <c r="BB29" s="403"/>
      <c r="BC29" s="403"/>
      <c r="BD29" s="403"/>
      <c r="BE29" s="403"/>
      <c r="BF29" s="741"/>
      <c r="BG29" s="741"/>
      <c r="BH29" s="741"/>
      <c r="BI29" s="741"/>
      <c r="BJ29" s="741"/>
      <c r="BK29" s="403"/>
      <c r="BL29" s="741"/>
      <c r="BM29" s="741"/>
      <c r="BN29" s="741"/>
      <c r="BO29" s="741"/>
      <c r="BP29" s="403"/>
      <c r="BQ29" s="403"/>
      <c r="BR29" s="403"/>
      <c r="BS29" s="403"/>
      <c r="BT29" s="403"/>
      <c r="BU29" s="403"/>
      <c r="BV29" s="403"/>
      <c r="BW29" s="403"/>
      <c r="BX29" s="403"/>
      <c r="BY29" s="403"/>
      <c r="BZ29" s="403"/>
      <c r="CA29" s="403"/>
      <c r="CB29" s="403"/>
      <c r="CC29" s="403"/>
      <c r="CD29" s="403"/>
      <c r="CE29" s="403"/>
    </row>
    <row r="30" spans="1:83" ht="13.5" customHeight="1">
      <c r="A30" s="403"/>
      <c r="B30" s="408"/>
      <c r="C30" s="461" t="s">
        <v>194</v>
      </c>
      <c r="D30" s="482">
        <f t="shared" ca="1" si="1"/>
        <v>0</v>
      </c>
      <c r="E30" s="777">
        <f t="shared" ca="1" si="3"/>
        <v>252.49</v>
      </c>
      <c r="F30" s="464"/>
      <c r="G30" s="464"/>
      <c r="H30" s="465">
        <f t="shared" ca="1" si="2"/>
        <v>322.58</v>
      </c>
      <c r="I30" s="715"/>
      <c r="J30" s="614"/>
      <c r="K30" s="490"/>
      <c r="L30" s="491" t="s">
        <v>304</v>
      </c>
      <c r="M30" s="469">
        <v>27</v>
      </c>
      <c r="N30" s="467">
        <v>445</v>
      </c>
      <c r="O30" s="716">
        <v>70</v>
      </c>
      <c r="P30" s="467">
        <v>80</v>
      </c>
      <c r="Q30" s="467">
        <v>84</v>
      </c>
      <c r="R30" s="467">
        <v>23</v>
      </c>
      <c r="S30" s="467">
        <v>396</v>
      </c>
      <c r="T30" s="467">
        <v>15</v>
      </c>
      <c r="U30" s="467">
        <v>70</v>
      </c>
      <c r="V30" s="467">
        <v>37</v>
      </c>
      <c r="W30" s="467">
        <v>91</v>
      </c>
      <c r="X30" s="467">
        <v>42</v>
      </c>
      <c r="Y30" s="467">
        <v>56</v>
      </c>
      <c r="Z30" s="467">
        <v>6</v>
      </c>
      <c r="AA30" s="467">
        <v>140</v>
      </c>
      <c r="AB30" s="467">
        <v>43</v>
      </c>
      <c r="AC30" s="492">
        <v>224</v>
      </c>
      <c r="AD30" s="492">
        <v>13</v>
      </c>
      <c r="AE30" s="492">
        <v>25</v>
      </c>
      <c r="AF30" s="492">
        <v>35</v>
      </c>
      <c r="AG30" s="492">
        <v>127</v>
      </c>
      <c r="AH30" s="492">
        <v>50</v>
      </c>
      <c r="AI30" s="492">
        <v>56</v>
      </c>
      <c r="AJ30" s="492">
        <v>192</v>
      </c>
      <c r="AK30" s="492">
        <v>138</v>
      </c>
      <c r="AL30" s="493">
        <v>11</v>
      </c>
      <c r="AM30" s="492">
        <v>395</v>
      </c>
      <c r="AN30" s="494">
        <v>41</v>
      </c>
      <c r="AO30" s="492">
        <v>194</v>
      </c>
      <c r="AP30" s="494">
        <v>271</v>
      </c>
      <c r="AQ30" s="493">
        <v>67</v>
      </c>
      <c r="AR30" s="493">
        <v>163.30000000000001</v>
      </c>
      <c r="AS30" s="877">
        <v>900.5</v>
      </c>
      <c r="AT30" s="968">
        <v>161.1</v>
      </c>
      <c r="AU30" s="989">
        <v>321</v>
      </c>
      <c r="AV30" s="978"/>
      <c r="AW30" s="403"/>
      <c r="AX30" s="403"/>
      <c r="AY30" s="403"/>
      <c r="AZ30" s="403"/>
      <c r="BA30" s="403"/>
      <c r="BB30" s="403"/>
      <c r="BC30" s="403"/>
      <c r="BD30" s="403"/>
      <c r="BE30" s="403"/>
      <c r="BF30" s="403"/>
      <c r="BG30" s="403"/>
      <c r="BH30" s="403"/>
      <c r="BI30" s="403"/>
      <c r="BJ30" s="403"/>
      <c r="BK30" s="741"/>
      <c r="BL30" s="403"/>
      <c r="BM30" s="403"/>
      <c r="BN30" s="403"/>
      <c r="BO30" s="403"/>
      <c r="BP30" s="741"/>
      <c r="BQ30" s="741"/>
      <c r="BR30" s="741"/>
      <c r="BS30" s="741"/>
      <c r="BT30" s="741"/>
      <c r="BU30" s="741"/>
      <c r="BV30" s="741"/>
      <c r="BW30" s="741"/>
      <c r="BX30" s="741"/>
      <c r="BY30" s="403"/>
      <c r="BZ30" s="403"/>
      <c r="CA30" s="403"/>
      <c r="CB30" s="403"/>
      <c r="CC30" s="403"/>
      <c r="CD30" s="403"/>
      <c r="CE30" s="403"/>
    </row>
    <row r="31" spans="1:83" ht="13.5" customHeight="1" thickBot="1">
      <c r="A31" s="403"/>
      <c r="B31" s="408"/>
      <c r="C31" s="448" t="s">
        <v>195</v>
      </c>
      <c r="D31" s="506">
        <f t="shared" ca="1" si="1"/>
        <v>0</v>
      </c>
      <c r="E31" s="778">
        <f t="shared" ca="1" si="3"/>
        <v>174.07999999999998</v>
      </c>
      <c r="F31" s="475"/>
      <c r="G31" s="475"/>
      <c r="H31" s="476">
        <f t="shared" ca="1" si="2"/>
        <v>209.3</v>
      </c>
      <c r="I31" s="717"/>
      <c r="J31" s="614"/>
      <c r="K31" s="490"/>
      <c r="L31" s="509" t="s">
        <v>305</v>
      </c>
      <c r="M31" s="480">
        <v>162</v>
      </c>
      <c r="N31" s="478">
        <v>708</v>
      </c>
      <c r="O31" s="718">
        <v>90</v>
      </c>
      <c r="P31" s="478">
        <v>133</v>
      </c>
      <c r="Q31" s="478">
        <v>419</v>
      </c>
      <c r="R31" s="478">
        <v>35</v>
      </c>
      <c r="S31" s="478">
        <v>390</v>
      </c>
      <c r="T31" s="478">
        <v>24</v>
      </c>
      <c r="U31" s="478">
        <v>136</v>
      </c>
      <c r="V31" s="478">
        <v>24</v>
      </c>
      <c r="W31" s="478">
        <v>120</v>
      </c>
      <c r="X31" s="478">
        <v>87</v>
      </c>
      <c r="Y31" s="478">
        <v>19</v>
      </c>
      <c r="Z31" s="478">
        <v>4</v>
      </c>
      <c r="AA31" s="478">
        <v>118</v>
      </c>
      <c r="AB31" s="478">
        <v>21</v>
      </c>
      <c r="AC31" s="510">
        <v>88</v>
      </c>
      <c r="AD31" s="510">
        <v>10</v>
      </c>
      <c r="AE31" s="510">
        <v>95</v>
      </c>
      <c r="AF31" s="510">
        <v>62</v>
      </c>
      <c r="AG31" s="510">
        <v>75</v>
      </c>
      <c r="AH31" s="510">
        <v>42</v>
      </c>
      <c r="AI31" s="510">
        <v>39</v>
      </c>
      <c r="AJ31" s="510">
        <v>225</v>
      </c>
      <c r="AK31" s="510">
        <v>52</v>
      </c>
      <c r="AL31" s="511">
        <v>19</v>
      </c>
      <c r="AM31" s="510">
        <v>222</v>
      </c>
      <c r="AN31" s="512">
        <v>18</v>
      </c>
      <c r="AO31" s="510">
        <v>177</v>
      </c>
      <c r="AP31" s="512">
        <v>258.3</v>
      </c>
      <c r="AQ31" s="511">
        <v>48</v>
      </c>
      <c r="AR31" s="501">
        <v>15</v>
      </c>
      <c r="AS31" s="880">
        <v>668.5</v>
      </c>
      <c r="AT31" s="971">
        <v>145</v>
      </c>
      <c r="AU31" s="992">
        <v>170</v>
      </c>
      <c r="AV31" s="981"/>
      <c r="AW31" s="741"/>
      <c r="AX31" s="741"/>
      <c r="AY31" s="741"/>
      <c r="AZ31" s="741"/>
      <c r="BA31" s="741"/>
      <c r="BB31" s="741"/>
      <c r="BC31" s="403"/>
      <c r="BD31" s="403"/>
      <c r="BE31" s="403"/>
      <c r="BF31" s="403"/>
      <c r="BG31" s="403"/>
      <c r="BH31" s="403"/>
      <c r="BI31" s="403"/>
      <c r="BJ31" s="403"/>
      <c r="BK31" s="403"/>
      <c r="BL31" s="403"/>
      <c r="BM31" s="403"/>
      <c r="BN31" s="403"/>
      <c r="BO31" s="403"/>
      <c r="BP31" s="403"/>
      <c r="BQ31" s="403"/>
      <c r="BR31" s="403"/>
      <c r="BS31" s="403"/>
      <c r="BT31" s="403"/>
      <c r="BU31" s="403"/>
      <c r="BV31" s="403"/>
      <c r="BW31" s="403"/>
      <c r="BX31" s="403"/>
      <c r="BY31" s="403"/>
      <c r="BZ31" s="403"/>
      <c r="CA31" s="403"/>
      <c r="CB31" s="403"/>
      <c r="CC31" s="403"/>
      <c r="CD31" s="403"/>
      <c r="CE31" s="403"/>
    </row>
    <row r="32" spans="1:83" ht="13.5" customHeight="1">
      <c r="A32" s="403"/>
      <c r="B32" s="407"/>
      <c r="C32" s="529" t="s">
        <v>189</v>
      </c>
      <c r="D32" s="482">
        <f t="shared" ca="1" si="1"/>
        <v>0</v>
      </c>
      <c r="E32" s="777">
        <f t="shared" ca="1" si="3"/>
        <v>59.562400000000004</v>
      </c>
      <c r="F32" s="453"/>
      <c r="G32" s="453"/>
      <c r="H32" s="454">
        <f t="shared" ca="1" si="2"/>
        <v>37.058000000000007</v>
      </c>
      <c r="I32" s="715"/>
      <c r="J32" s="614"/>
      <c r="K32" s="434"/>
      <c r="L32" s="484" t="s">
        <v>300</v>
      </c>
      <c r="M32" s="719">
        <v>93</v>
      </c>
      <c r="N32" s="517">
        <v>449</v>
      </c>
      <c r="O32" s="720">
        <v>224</v>
      </c>
      <c r="P32" s="517">
        <v>181</v>
      </c>
      <c r="Q32" s="517">
        <v>122</v>
      </c>
      <c r="R32" s="517">
        <v>41</v>
      </c>
      <c r="S32" s="517">
        <v>60</v>
      </c>
      <c r="T32" s="517">
        <v>56</v>
      </c>
      <c r="U32" s="517">
        <v>213</v>
      </c>
      <c r="V32" s="517">
        <v>1</v>
      </c>
      <c r="W32" s="517">
        <v>115</v>
      </c>
      <c r="X32" s="517">
        <v>155</v>
      </c>
      <c r="Y32" s="517">
        <v>15</v>
      </c>
      <c r="Z32" s="517">
        <v>0</v>
      </c>
      <c r="AA32" s="517">
        <v>43</v>
      </c>
      <c r="AB32" s="517">
        <v>6</v>
      </c>
      <c r="AC32" s="518">
        <v>19</v>
      </c>
      <c r="AD32" s="518">
        <v>6</v>
      </c>
      <c r="AE32" s="518">
        <v>17</v>
      </c>
      <c r="AF32" s="518">
        <v>3</v>
      </c>
      <c r="AG32" s="518">
        <v>126</v>
      </c>
      <c r="AH32" s="518">
        <v>49</v>
      </c>
      <c r="AI32" s="518">
        <v>12</v>
      </c>
      <c r="AJ32" s="518">
        <v>15</v>
      </c>
      <c r="AK32" s="518">
        <v>19</v>
      </c>
      <c r="AL32" s="519">
        <v>25</v>
      </c>
      <c r="AM32" s="518">
        <v>167</v>
      </c>
      <c r="AN32" s="520">
        <v>6</v>
      </c>
      <c r="AO32" s="518">
        <v>104</v>
      </c>
      <c r="AP32" s="520">
        <v>108.334</v>
      </c>
      <c r="AQ32" s="519">
        <v>3</v>
      </c>
      <c r="AR32" s="486">
        <v>0</v>
      </c>
      <c r="AS32" s="881">
        <v>50</v>
      </c>
      <c r="AT32" s="972">
        <v>38</v>
      </c>
      <c r="AU32" s="993">
        <v>94.29</v>
      </c>
      <c r="AV32" s="982"/>
      <c r="AW32" s="403"/>
      <c r="AX32" s="403"/>
      <c r="AY32" s="403"/>
      <c r="AZ32" s="403"/>
      <c r="BA32" s="403"/>
      <c r="BB32" s="403"/>
      <c r="BC32" s="741"/>
      <c r="BD32" s="741"/>
      <c r="BE32" s="741"/>
      <c r="BF32" s="403"/>
      <c r="BG32" s="403"/>
      <c r="BH32" s="403"/>
      <c r="BI32" s="403"/>
      <c r="BJ32" s="403"/>
      <c r="BK32" s="403"/>
      <c r="BL32" s="403"/>
      <c r="BM32" s="403"/>
      <c r="BN32" s="403"/>
      <c r="BO32" s="403"/>
      <c r="BP32" s="403"/>
      <c r="BQ32" s="403"/>
      <c r="BR32" s="403"/>
      <c r="BS32" s="403"/>
      <c r="BT32" s="403"/>
      <c r="BU32" s="403"/>
      <c r="BV32" s="403"/>
      <c r="BW32" s="403"/>
      <c r="BX32" s="403"/>
      <c r="BY32" s="403"/>
      <c r="BZ32" s="403"/>
      <c r="CA32" s="403"/>
      <c r="CB32" s="403"/>
      <c r="CC32" s="403"/>
      <c r="CD32" s="403"/>
      <c r="CE32" s="403"/>
    </row>
    <row r="33" spans="1:83" ht="13.5" customHeight="1">
      <c r="A33" s="403"/>
      <c r="B33" s="408"/>
      <c r="C33" s="461" t="s">
        <v>190</v>
      </c>
      <c r="D33" s="482">
        <f t="shared" ca="1" si="1"/>
        <v>0</v>
      </c>
      <c r="E33" s="777">
        <f t="shared" ca="1" si="3"/>
        <v>13.303999999999998</v>
      </c>
      <c r="F33" s="464"/>
      <c r="G33" s="464"/>
      <c r="H33" s="465">
        <f t="shared" ca="1" si="2"/>
        <v>12.141999999999999</v>
      </c>
      <c r="I33" s="715"/>
      <c r="J33" s="614"/>
      <c r="K33" s="490"/>
      <c r="L33" s="491" t="s">
        <v>301</v>
      </c>
      <c r="M33" s="469">
        <v>14</v>
      </c>
      <c r="N33" s="467">
        <v>184</v>
      </c>
      <c r="O33" s="716">
        <v>188</v>
      </c>
      <c r="P33" s="467">
        <v>122</v>
      </c>
      <c r="Q33" s="467">
        <v>0</v>
      </c>
      <c r="R33" s="467">
        <v>17</v>
      </c>
      <c r="S33" s="467">
        <v>1</v>
      </c>
      <c r="T33" s="467">
        <v>20</v>
      </c>
      <c r="U33" s="467">
        <v>40</v>
      </c>
      <c r="V33" s="467">
        <v>5</v>
      </c>
      <c r="W33" s="467">
        <v>14</v>
      </c>
      <c r="X33" s="467">
        <v>45</v>
      </c>
      <c r="Y33" s="467">
        <v>1</v>
      </c>
      <c r="Z33" s="467">
        <v>0</v>
      </c>
      <c r="AA33" s="467">
        <v>5</v>
      </c>
      <c r="AB33" s="467">
        <v>1</v>
      </c>
      <c r="AC33" s="492">
        <v>7</v>
      </c>
      <c r="AD33" s="492">
        <v>1</v>
      </c>
      <c r="AE33" s="492">
        <v>21</v>
      </c>
      <c r="AF33" s="492">
        <v>1</v>
      </c>
      <c r="AG33" s="492">
        <v>5</v>
      </c>
      <c r="AH33" s="492">
        <v>13</v>
      </c>
      <c r="AI33" s="492">
        <v>2</v>
      </c>
      <c r="AJ33" s="492">
        <v>25</v>
      </c>
      <c r="AK33" s="492">
        <v>5</v>
      </c>
      <c r="AL33" s="493">
        <v>2</v>
      </c>
      <c r="AM33" s="492">
        <v>18</v>
      </c>
      <c r="AN33" s="494">
        <v>8</v>
      </c>
      <c r="AO33" s="492">
        <v>16</v>
      </c>
      <c r="AP33" s="494">
        <v>28.33</v>
      </c>
      <c r="AQ33" s="493">
        <v>1</v>
      </c>
      <c r="AR33" s="493">
        <v>0</v>
      </c>
      <c r="AS33" s="877">
        <v>20</v>
      </c>
      <c r="AT33" s="968">
        <v>0</v>
      </c>
      <c r="AU33" s="989">
        <v>39.71</v>
      </c>
      <c r="AV33" s="978"/>
      <c r="AW33" s="403"/>
      <c r="AX33" s="403"/>
      <c r="AY33" s="403"/>
      <c r="AZ33" s="403"/>
      <c r="BA33" s="403"/>
      <c r="BB33" s="403"/>
      <c r="BC33" s="403"/>
      <c r="BD33" s="403"/>
      <c r="BE33" s="403"/>
      <c r="BF33" s="403"/>
      <c r="BG33" s="403"/>
      <c r="BH33" s="403"/>
      <c r="BI33" s="403"/>
      <c r="BJ33" s="403"/>
      <c r="BK33" s="403"/>
      <c r="BL33" s="403"/>
      <c r="BM33" s="403"/>
      <c r="BN33" s="403"/>
      <c r="BO33" s="403"/>
      <c r="BP33" s="403"/>
      <c r="BQ33" s="403"/>
      <c r="BR33" s="403"/>
      <c r="BS33" s="403"/>
      <c r="BT33" s="403"/>
      <c r="BU33" s="403"/>
      <c r="BV33" s="403"/>
      <c r="BW33" s="403"/>
      <c r="BX33" s="403"/>
      <c r="BY33" s="403"/>
      <c r="BZ33" s="403"/>
      <c r="CA33" s="403"/>
      <c r="CB33" s="403"/>
      <c r="CC33" s="403"/>
      <c r="CD33" s="403"/>
      <c r="CE33" s="403"/>
    </row>
    <row r="34" spans="1:83" ht="13.5" customHeight="1">
      <c r="A34" s="403"/>
      <c r="B34" s="408" t="s">
        <v>200</v>
      </c>
      <c r="C34" s="461" t="s">
        <v>192</v>
      </c>
      <c r="D34" s="482">
        <f t="shared" ca="1" si="1"/>
        <v>0</v>
      </c>
      <c r="E34" s="777">
        <f t="shared" ca="1" si="3"/>
        <v>3.1339999999999999</v>
      </c>
      <c r="F34" s="464"/>
      <c r="G34" s="464"/>
      <c r="H34" s="465">
        <f t="shared" ca="1" si="2"/>
        <v>2.8679999999999999</v>
      </c>
      <c r="I34" s="715"/>
      <c r="J34" s="614"/>
      <c r="K34" s="490" t="s">
        <v>200</v>
      </c>
      <c r="L34" s="491" t="s">
        <v>302</v>
      </c>
      <c r="M34" s="469">
        <v>0</v>
      </c>
      <c r="N34" s="467">
        <v>48</v>
      </c>
      <c r="O34" s="716">
        <v>32</v>
      </c>
      <c r="P34" s="467">
        <v>33</v>
      </c>
      <c r="Q34" s="467">
        <v>1</v>
      </c>
      <c r="R34" s="467">
        <v>4</v>
      </c>
      <c r="S34" s="467">
        <v>0</v>
      </c>
      <c r="T34" s="467">
        <v>1</v>
      </c>
      <c r="U34" s="467">
        <v>11</v>
      </c>
      <c r="V34" s="467">
        <v>1</v>
      </c>
      <c r="W34" s="467">
        <v>2</v>
      </c>
      <c r="X34" s="467">
        <v>7</v>
      </c>
      <c r="Y34" s="467">
        <v>0</v>
      </c>
      <c r="Z34" s="467">
        <v>4</v>
      </c>
      <c r="AA34" s="467">
        <v>0</v>
      </c>
      <c r="AB34" s="467">
        <v>2</v>
      </c>
      <c r="AC34" s="492">
        <v>1</v>
      </c>
      <c r="AD34" s="492">
        <v>5</v>
      </c>
      <c r="AE34" s="492">
        <v>1</v>
      </c>
      <c r="AF34" s="492">
        <v>0</v>
      </c>
      <c r="AG34" s="492">
        <v>2</v>
      </c>
      <c r="AH34" s="492">
        <v>4</v>
      </c>
      <c r="AI34" s="492">
        <v>1</v>
      </c>
      <c r="AJ34" s="492">
        <v>1</v>
      </c>
      <c r="AK34" s="492">
        <v>1</v>
      </c>
      <c r="AL34" s="493">
        <v>2</v>
      </c>
      <c r="AM34" s="492">
        <v>1</v>
      </c>
      <c r="AN34" s="494">
        <v>6</v>
      </c>
      <c r="AO34" s="492">
        <v>8</v>
      </c>
      <c r="AP34" s="494">
        <v>0</v>
      </c>
      <c r="AQ34" s="493">
        <v>2</v>
      </c>
      <c r="AR34" s="493">
        <v>4.5</v>
      </c>
      <c r="AS34" s="877">
        <v>5</v>
      </c>
      <c r="AT34" s="968">
        <v>0.84</v>
      </c>
      <c r="AU34" s="989">
        <v>2</v>
      </c>
      <c r="AV34" s="978"/>
      <c r="AW34" s="403"/>
      <c r="AX34" s="403"/>
      <c r="AY34" s="403"/>
      <c r="AZ34" s="403"/>
      <c r="BA34" s="403"/>
      <c r="BB34" s="403"/>
      <c r="BC34" s="403"/>
      <c r="BD34" s="403"/>
      <c r="BE34" s="403"/>
      <c r="BF34" s="403"/>
      <c r="BG34" s="403"/>
      <c r="BH34" s="403"/>
      <c r="BI34" s="403"/>
      <c r="BJ34" s="403"/>
      <c r="BK34" s="403"/>
      <c r="BL34" s="403"/>
      <c r="BM34" s="403"/>
      <c r="BN34" s="403"/>
      <c r="BO34" s="403"/>
      <c r="BP34" s="403"/>
      <c r="BQ34" s="403"/>
      <c r="BR34" s="403"/>
      <c r="BS34" s="403"/>
      <c r="BT34" s="403"/>
      <c r="BU34" s="403"/>
      <c r="BV34" s="403"/>
      <c r="BW34" s="403"/>
      <c r="BX34" s="403"/>
      <c r="BY34" s="403"/>
      <c r="BZ34" s="403"/>
      <c r="CA34" s="403"/>
      <c r="CB34" s="403"/>
      <c r="CC34" s="403"/>
      <c r="CD34" s="403"/>
      <c r="CE34" s="403"/>
    </row>
    <row r="35" spans="1:83" ht="13.5" customHeight="1">
      <c r="A35" s="403"/>
      <c r="B35" s="408"/>
      <c r="C35" s="461" t="s">
        <v>193</v>
      </c>
      <c r="D35" s="482">
        <f t="shared" ca="1" si="1"/>
        <v>0</v>
      </c>
      <c r="E35" s="777">
        <f t="shared" ca="1" si="3"/>
        <v>3.5869999999999997</v>
      </c>
      <c r="F35" s="464"/>
      <c r="G35" s="464"/>
      <c r="H35" s="465">
        <f t="shared" ca="1" si="2"/>
        <v>4.9739999999999993</v>
      </c>
      <c r="I35" s="715"/>
      <c r="J35" s="614"/>
      <c r="K35" s="490"/>
      <c r="L35" s="491" t="s">
        <v>303</v>
      </c>
      <c r="M35" s="469">
        <v>0</v>
      </c>
      <c r="N35" s="467">
        <v>9</v>
      </c>
      <c r="O35" s="716">
        <v>10</v>
      </c>
      <c r="P35" s="467">
        <v>16</v>
      </c>
      <c r="Q35" s="467">
        <v>1</v>
      </c>
      <c r="R35" s="467">
        <v>3</v>
      </c>
      <c r="S35" s="467">
        <v>5</v>
      </c>
      <c r="T35" s="467">
        <v>0</v>
      </c>
      <c r="U35" s="467">
        <v>11</v>
      </c>
      <c r="V35" s="467">
        <v>0</v>
      </c>
      <c r="W35" s="467">
        <v>2</v>
      </c>
      <c r="X35" s="467">
        <v>4</v>
      </c>
      <c r="Y35" s="467">
        <v>0</v>
      </c>
      <c r="Z35" s="467">
        <v>51</v>
      </c>
      <c r="AA35" s="467">
        <v>0</v>
      </c>
      <c r="AB35" s="467">
        <v>1</v>
      </c>
      <c r="AC35" s="492">
        <v>1</v>
      </c>
      <c r="AD35" s="492">
        <v>5</v>
      </c>
      <c r="AE35" s="492">
        <v>3</v>
      </c>
      <c r="AF35" s="492">
        <v>8</v>
      </c>
      <c r="AG35" s="492">
        <v>5</v>
      </c>
      <c r="AH35" s="492">
        <v>3</v>
      </c>
      <c r="AI35" s="492">
        <v>0</v>
      </c>
      <c r="AJ35" s="492">
        <v>8</v>
      </c>
      <c r="AK35" s="492">
        <v>2</v>
      </c>
      <c r="AL35" s="493">
        <v>0</v>
      </c>
      <c r="AM35" s="492">
        <v>0</v>
      </c>
      <c r="AN35" s="494">
        <v>0</v>
      </c>
      <c r="AO35" s="492">
        <v>7</v>
      </c>
      <c r="AP35" s="494">
        <v>4</v>
      </c>
      <c r="AQ35" s="493">
        <v>0</v>
      </c>
      <c r="AR35" s="493">
        <v>12.5</v>
      </c>
      <c r="AS35" s="877">
        <v>5</v>
      </c>
      <c r="AT35" s="968">
        <v>3.2</v>
      </c>
      <c r="AU35" s="989">
        <v>4.17</v>
      </c>
      <c r="AV35" s="978"/>
      <c r="AW35" s="403"/>
      <c r="AX35" s="403"/>
      <c r="AY35" s="403"/>
      <c r="AZ35" s="403"/>
      <c r="BA35" s="403"/>
      <c r="BB35" s="403"/>
      <c r="BC35" s="403"/>
      <c r="BD35" s="403"/>
      <c r="BE35" s="403"/>
      <c r="BF35" s="403"/>
      <c r="BG35" s="403"/>
      <c r="BH35" s="403"/>
      <c r="BI35" s="403"/>
      <c r="BJ35" s="403"/>
      <c r="BK35" s="403"/>
      <c r="BL35" s="403"/>
      <c r="BM35" s="403"/>
      <c r="BN35" s="403"/>
      <c r="BO35" s="403"/>
      <c r="BP35" s="403"/>
      <c r="BQ35" s="403"/>
      <c r="BR35" s="403"/>
      <c r="BS35" s="403"/>
      <c r="BT35" s="403"/>
      <c r="BU35" s="403"/>
      <c r="BV35" s="403"/>
      <c r="BW35" s="403"/>
      <c r="BX35" s="403"/>
      <c r="BY35" s="403"/>
      <c r="BZ35" s="403"/>
      <c r="CA35" s="403"/>
      <c r="CB35" s="403"/>
      <c r="CC35" s="403"/>
      <c r="CD35" s="403"/>
      <c r="CE35" s="403"/>
    </row>
    <row r="36" spans="1:83" ht="13.5" customHeight="1">
      <c r="A36" s="403"/>
      <c r="B36" s="408"/>
      <c r="C36" s="461" t="s">
        <v>194</v>
      </c>
      <c r="D36" s="482">
        <f t="shared" ca="1" si="1"/>
        <v>0</v>
      </c>
      <c r="E36" s="777">
        <f t="shared" ca="1" si="3"/>
        <v>37.652999999999999</v>
      </c>
      <c r="F36" s="464"/>
      <c r="G36" s="464"/>
      <c r="H36" s="465">
        <f t="shared" ca="1" si="2"/>
        <v>72.705999999999989</v>
      </c>
      <c r="I36" s="715"/>
      <c r="J36" s="614"/>
      <c r="K36" s="490"/>
      <c r="L36" s="491" t="s">
        <v>304</v>
      </c>
      <c r="M36" s="469">
        <v>3</v>
      </c>
      <c r="N36" s="467">
        <v>4</v>
      </c>
      <c r="O36" s="716">
        <v>0</v>
      </c>
      <c r="P36" s="467">
        <v>1</v>
      </c>
      <c r="Q36" s="467">
        <v>0</v>
      </c>
      <c r="R36" s="467">
        <v>0</v>
      </c>
      <c r="S36" s="467">
        <v>16</v>
      </c>
      <c r="T36" s="467">
        <v>0</v>
      </c>
      <c r="U36" s="467">
        <v>1</v>
      </c>
      <c r="V36" s="467">
        <v>1</v>
      </c>
      <c r="W36" s="467">
        <v>1</v>
      </c>
      <c r="X36" s="467">
        <v>0</v>
      </c>
      <c r="Y36" s="467">
        <v>9</v>
      </c>
      <c r="Z36" s="467">
        <v>33</v>
      </c>
      <c r="AA36" s="467">
        <v>9</v>
      </c>
      <c r="AB36" s="467">
        <v>0</v>
      </c>
      <c r="AC36" s="492">
        <v>3</v>
      </c>
      <c r="AD36" s="492">
        <v>15</v>
      </c>
      <c r="AE36" s="492">
        <v>10</v>
      </c>
      <c r="AF36" s="492">
        <v>32</v>
      </c>
      <c r="AG36" s="492">
        <v>30</v>
      </c>
      <c r="AH36" s="492">
        <v>1</v>
      </c>
      <c r="AI36" s="492">
        <v>27</v>
      </c>
      <c r="AJ36" s="492">
        <v>44</v>
      </c>
      <c r="AK36" s="492">
        <v>4</v>
      </c>
      <c r="AL36" s="493">
        <v>5</v>
      </c>
      <c r="AM36" s="492">
        <v>2</v>
      </c>
      <c r="AN36" s="494">
        <v>0</v>
      </c>
      <c r="AO36" s="492">
        <v>6</v>
      </c>
      <c r="AP36" s="494">
        <v>0</v>
      </c>
      <c r="AQ36" s="493">
        <v>5.7</v>
      </c>
      <c r="AR36" s="493">
        <v>319</v>
      </c>
      <c r="AS36" s="877">
        <v>3</v>
      </c>
      <c r="AT36" s="968">
        <v>5</v>
      </c>
      <c r="AU36" s="989">
        <v>30.83</v>
      </c>
      <c r="AV36" s="978"/>
      <c r="AW36" s="403"/>
      <c r="AX36" s="403"/>
      <c r="AY36" s="403"/>
      <c r="AZ36" s="403"/>
      <c r="BA36" s="403"/>
      <c r="BB36" s="403"/>
      <c r="BC36" s="403"/>
      <c r="BD36" s="403"/>
      <c r="BE36" s="403"/>
      <c r="BF36" s="403"/>
      <c r="BG36" s="403"/>
      <c r="BH36" s="403"/>
      <c r="BI36" s="403"/>
      <c r="BJ36" s="403"/>
      <c r="BK36" s="403"/>
      <c r="BL36" s="403"/>
      <c r="BM36" s="403"/>
      <c r="BN36" s="403"/>
      <c r="BO36" s="403"/>
      <c r="BP36" s="403"/>
      <c r="BQ36" s="403"/>
      <c r="BR36" s="403"/>
      <c r="BS36" s="403"/>
      <c r="BT36" s="403"/>
      <c r="BU36" s="403"/>
      <c r="BV36" s="403"/>
      <c r="BW36" s="403"/>
      <c r="BX36" s="403"/>
      <c r="BY36" s="403"/>
      <c r="BZ36" s="403"/>
      <c r="CA36" s="403"/>
      <c r="CB36" s="403"/>
      <c r="CC36" s="403"/>
      <c r="CD36" s="403"/>
      <c r="CE36" s="403"/>
    </row>
    <row r="37" spans="1:83" ht="13.5" customHeight="1" thickBot="1">
      <c r="A37" s="403"/>
      <c r="B37" s="472"/>
      <c r="C37" s="448" t="s">
        <v>195</v>
      </c>
      <c r="D37" s="506">
        <f t="shared" ca="1" si="1"/>
        <v>0</v>
      </c>
      <c r="E37" s="778">
        <f t="shared" ca="1" si="3"/>
        <v>32.761000000000003</v>
      </c>
      <c r="F37" s="475"/>
      <c r="G37" s="475"/>
      <c r="H37" s="476">
        <f t="shared" ca="1" si="2"/>
        <v>50.547999999999995</v>
      </c>
      <c r="I37" s="717"/>
      <c r="J37" s="614"/>
      <c r="K37" s="508"/>
      <c r="L37" s="509" t="s">
        <v>305</v>
      </c>
      <c r="M37" s="726">
        <v>8</v>
      </c>
      <c r="N37" s="478">
        <v>1</v>
      </c>
      <c r="O37" s="727">
        <v>1</v>
      </c>
      <c r="P37" s="531">
        <v>20</v>
      </c>
      <c r="Q37" s="531">
        <v>1</v>
      </c>
      <c r="R37" s="531">
        <v>8</v>
      </c>
      <c r="S37" s="531">
        <v>21</v>
      </c>
      <c r="T37" s="531">
        <v>0</v>
      </c>
      <c r="U37" s="531">
        <v>0</v>
      </c>
      <c r="V37" s="531">
        <v>2</v>
      </c>
      <c r="W37" s="531">
        <v>3</v>
      </c>
      <c r="X37" s="531">
        <v>0</v>
      </c>
      <c r="Y37" s="531">
        <v>26</v>
      </c>
      <c r="Z37" s="531">
        <v>69</v>
      </c>
      <c r="AA37" s="531">
        <v>26</v>
      </c>
      <c r="AB37" s="531">
        <v>1</v>
      </c>
      <c r="AC37" s="500">
        <v>1</v>
      </c>
      <c r="AD37" s="500">
        <v>13</v>
      </c>
      <c r="AE37" s="500">
        <v>8</v>
      </c>
      <c r="AF37" s="500">
        <v>32</v>
      </c>
      <c r="AG37" s="500">
        <v>62</v>
      </c>
      <c r="AH37" s="500">
        <v>15</v>
      </c>
      <c r="AI37" s="500">
        <v>78</v>
      </c>
      <c r="AJ37" s="500">
        <v>94</v>
      </c>
      <c r="AK37" s="500">
        <v>4</v>
      </c>
      <c r="AL37" s="501">
        <v>8</v>
      </c>
      <c r="AM37" s="500">
        <v>58</v>
      </c>
      <c r="AN37" s="502">
        <v>3</v>
      </c>
      <c r="AO37" s="500">
        <v>4.2</v>
      </c>
      <c r="AP37" s="502">
        <v>1.67</v>
      </c>
      <c r="AQ37" s="501">
        <v>22.54</v>
      </c>
      <c r="AR37" s="501">
        <v>152</v>
      </c>
      <c r="AS37" s="880">
        <v>16.2</v>
      </c>
      <c r="AT37" s="971">
        <v>25</v>
      </c>
      <c r="AU37" s="992">
        <v>37</v>
      </c>
      <c r="AV37" s="981"/>
      <c r="AW37" s="403"/>
      <c r="AX37" s="403"/>
      <c r="AY37" s="403"/>
      <c r="AZ37" s="403"/>
      <c r="BA37" s="403"/>
      <c r="BB37" s="403"/>
      <c r="BC37" s="403"/>
      <c r="BD37" s="403"/>
      <c r="BE37" s="403"/>
      <c r="BF37" s="403"/>
      <c r="BG37" s="403"/>
      <c r="BH37" s="403"/>
      <c r="BI37" s="403"/>
      <c r="BJ37" s="403"/>
      <c r="BK37" s="403"/>
      <c r="BL37" s="403"/>
      <c r="BM37" s="403"/>
      <c r="BN37" s="403"/>
      <c r="BO37" s="403"/>
      <c r="BP37" s="403"/>
      <c r="BQ37" s="403"/>
      <c r="BR37" s="403"/>
      <c r="BS37" s="403"/>
      <c r="BT37" s="403"/>
      <c r="BU37" s="403"/>
      <c r="BV37" s="403"/>
      <c r="BW37" s="403"/>
      <c r="BX37" s="403"/>
      <c r="BY37" s="403"/>
      <c r="BZ37" s="403"/>
      <c r="CA37" s="403"/>
      <c r="CB37" s="403"/>
      <c r="CC37" s="403"/>
      <c r="CD37" s="403"/>
      <c r="CE37" s="403"/>
    </row>
    <row r="38" spans="1:83" ht="13.5" customHeight="1">
      <c r="A38" s="403"/>
      <c r="B38" s="408"/>
      <c r="C38" s="529" t="s">
        <v>189</v>
      </c>
      <c r="D38" s="482">
        <f t="shared" ca="1" si="1"/>
        <v>0</v>
      </c>
      <c r="E38" s="777">
        <f t="shared" ca="1" si="3"/>
        <v>21.79</v>
      </c>
      <c r="F38" s="453"/>
      <c r="G38" s="453"/>
      <c r="H38" s="454">
        <f t="shared" ca="1" si="2"/>
        <v>24.580000000000002</v>
      </c>
      <c r="I38" s="715"/>
      <c r="J38" s="614"/>
      <c r="K38" s="490"/>
      <c r="L38" s="484" t="s">
        <v>300</v>
      </c>
      <c r="M38" s="459">
        <v>22</v>
      </c>
      <c r="N38" s="517">
        <v>74</v>
      </c>
      <c r="O38" s="714">
        <v>16</v>
      </c>
      <c r="P38" s="457">
        <v>62</v>
      </c>
      <c r="Q38" s="457">
        <v>45</v>
      </c>
      <c r="R38" s="457">
        <v>11</v>
      </c>
      <c r="S38" s="457">
        <v>22</v>
      </c>
      <c r="T38" s="457">
        <v>0</v>
      </c>
      <c r="U38" s="457">
        <v>6</v>
      </c>
      <c r="V38" s="457">
        <v>2</v>
      </c>
      <c r="W38" s="457">
        <v>98</v>
      </c>
      <c r="X38" s="457">
        <v>28</v>
      </c>
      <c r="Y38" s="457">
        <v>22</v>
      </c>
      <c r="Z38" s="457">
        <v>12</v>
      </c>
      <c r="AA38" s="457">
        <v>54</v>
      </c>
      <c r="AB38" s="457">
        <v>5</v>
      </c>
      <c r="AC38" s="485">
        <v>3</v>
      </c>
      <c r="AD38" s="485">
        <v>23</v>
      </c>
      <c r="AE38" s="485">
        <v>95</v>
      </c>
      <c r="AF38" s="485">
        <v>31</v>
      </c>
      <c r="AG38" s="485">
        <v>75</v>
      </c>
      <c r="AH38" s="485">
        <v>9</v>
      </c>
      <c r="AI38" s="485">
        <v>88</v>
      </c>
      <c r="AJ38" s="485">
        <v>25</v>
      </c>
      <c r="AK38" s="485">
        <v>1</v>
      </c>
      <c r="AL38" s="486">
        <v>3</v>
      </c>
      <c r="AM38" s="485">
        <v>68</v>
      </c>
      <c r="AN38" s="487">
        <v>16</v>
      </c>
      <c r="AO38" s="485">
        <v>5</v>
      </c>
      <c r="AP38" s="487">
        <v>3</v>
      </c>
      <c r="AQ38" s="486">
        <v>9.4</v>
      </c>
      <c r="AR38" s="486">
        <v>30</v>
      </c>
      <c r="AS38" s="881">
        <v>28.5</v>
      </c>
      <c r="AT38" s="972">
        <v>40</v>
      </c>
      <c r="AU38" s="993">
        <v>15</v>
      </c>
      <c r="AV38" s="982"/>
      <c r="AW38" s="403"/>
      <c r="AX38" s="403"/>
      <c r="AY38" s="403"/>
      <c r="AZ38" s="403"/>
      <c r="BA38" s="403"/>
      <c r="BB38" s="403"/>
      <c r="BC38" s="403"/>
      <c r="BD38" s="403"/>
      <c r="BE38" s="403"/>
      <c r="BF38" s="403"/>
      <c r="BG38" s="403"/>
      <c r="BH38" s="403"/>
      <c r="BI38" s="403"/>
      <c r="BJ38" s="403"/>
      <c r="BK38" s="403"/>
      <c r="BL38" s="403"/>
      <c r="BM38" s="403"/>
      <c r="BN38" s="403"/>
      <c r="BO38" s="403"/>
      <c r="BP38" s="403"/>
      <c r="BQ38" s="403"/>
      <c r="BR38" s="403"/>
      <c r="BS38" s="403"/>
      <c r="BT38" s="403"/>
      <c r="BU38" s="403"/>
      <c r="BV38" s="403"/>
      <c r="BW38" s="403"/>
      <c r="BX38" s="403"/>
      <c r="BY38" s="403"/>
      <c r="BZ38" s="403"/>
      <c r="CA38" s="403"/>
      <c r="CB38" s="403"/>
      <c r="CC38" s="403"/>
      <c r="CD38" s="403"/>
      <c r="CE38" s="403"/>
    </row>
    <row r="39" spans="1:83" ht="13.5" customHeight="1">
      <c r="A39" s="403"/>
      <c r="B39" s="408"/>
      <c r="C39" s="461" t="s">
        <v>190</v>
      </c>
      <c r="D39" s="482">
        <f t="shared" ca="1" si="1"/>
        <v>0</v>
      </c>
      <c r="E39" s="777">
        <f t="shared" ca="1" si="3"/>
        <v>17.547000000000001</v>
      </c>
      <c r="F39" s="464"/>
      <c r="G39" s="464"/>
      <c r="H39" s="465">
        <f t="shared" ca="1" si="2"/>
        <v>12.628</v>
      </c>
      <c r="I39" s="715"/>
      <c r="J39" s="614"/>
      <c r="K39" s="490"/>
      <c r="L39" s="491" t="s">
        <v>301</v>
      </c>
      <c r="M39" s="469">
        <v>29</v>
      </c>
      <c r="N39" s="467">
        <v>187</v>
      </c>
      <c r="O39" s="716">
        <v>27</v>
      </c>
      <c r="P39" s="467">
        <v>112</v>
      </c>
      <c r="Q39" s="467">
        <v>2</v>
      </c>
      <c r="R39" s="467">
        <v>18</v>
      </c>
      <c r="S39" s="467">
        <v>20</v>
      </c>
      <c r="T39" s="467">
        <v>9</v>
      </c>
      <c r="U39" s="467">
        <v>7</v>
      </c>
      <c r="V39" s="467">
        <v>0</v>
      </c>
      <c r="W39" s="467">
        <v>33</v>
      </c>
      <c r="X39" s="467">
        <v>13</v>
      </c>
      <c r="Y39" s="467">
        <v>9</v>
      </c>
      <c r="Z39" s="467">
        <v>1</v>
      </c>
      <c r="AA39" s="467">
        <v>34</v>
      </c>
      <c r="AB39" s="467">
        <v>9</v>
      </c>
      <c r="AC39" s="492">
        <v>2</v>
      </c>
      <c r="AD39" s="492">
        <v>4</v>
      </c>
      <c r="AE39" s="492">
        <v>42</v>
      </c>
      <c r="AF39" s="492">
        <v>9</v>
      </c>
      <c r="AG39" s="492">
        <v>21</v>
      </c>
      <c r="AH39" s="492">
        <v>8</v>
      </c>
      <c r="AI39" s="492">
        <v>19</v>
      </c>
      <c r="AJ39" s="492">
        <v>15</v>
      </c>
      <c r="AK39" s="492">
        <v>8</v>
      </c>
      <c r="AL39" s="493">
        <v>4</v>
      </c>
      <c r="AM39" s="492">
        <v>63</v>
      </c>
      <c r="AN39" s="494">
        <v>18</v>
      </c>
      <c r="AO39" s="492">
        <v>14</v>
      </c>
      <c r="AP39" s="494">
        <v>13.33</v>
      </c>
      <c r="AQ39" s="493">
        <v>8.6</v>
      </c>
      <c r="AR39" s="493">
        <v>0.3</v>
      </c>
      <c r="AS39" s="877">
        <v>31.3</v>
      </c>
      <c r="AT39" s="968">
        <v>20.8</v>
      </c>
      <c r="AU39" s="989">
        <v>2.14</v>
      </c>
      <c r="AV39" s="978"/>
      <c r="AW39" s="403"/>
      <c r="AX39" s="403"/>
      <c r="AY39" s="403"/>
      <c r="AZ39" s="403"/>
      <c r="BA39" s="403"/>
      <c r="BB39" s="403"/>
      <c r="BC39" s="403"/>
      <c r="BD39" s="403"/>
      <c r="BE39" s="403"/>
      <c r="BF39" s="403"/>
      <c r="BG39" s="403"/>
      <c r="BH39" s="403"/>
      <c r="BI39" s="403"/>
      <c r="BJ39" s="403"/>
      <c r="BK39" s="403"/>
      <c r="BL39" s="403"/>
      <c r="BM39" s="403"/>
      <c r="BN39" s="403"/>
      <c r="BO39" s="403"/>
      <c r="BP39" s="403"/>
      <c r="BQ39" s="403"/>
      <c r="BR39" s="403"/>
      <c r="BS39" s="403"/>
      <c r="BT39" s="403"/>
      <c r="BU39" s="403"/>
      <c r="BV39" s="403"/>
      <c r="BW39" s="403"/>
      <c r="BX39" s="403"/>
      <c r="BY39" s="403"/>
      <c r="BZ39" s="403"/>
      <c r="CA39" s="403"/>
      <c r="CB39" s="403"/>
      <c r="CC39" s="403"/>
      <c r="CD39" s="403"/>
      <c r="CE39" s="403"/>
    </row>
    <row r="40" spans="1:83" ht="13.5" customHeight="1">
      <c r="A40" s="403"/>
      <c r="B40" s="408" t="s">
        <v>201</v>
      </c>
      <c r="C40" s="461" t="s">
        <v>192</v>
      </c>
      <c r="D40" s="482">
        <f t="shared" ca="1" si="1"/>
        <v>0</v>
      </c>
      <c r="E40" s="777">
        <f t="shared" ca="1" si="3"/>
        <v>12.526</v>
      </c>
      <c r="F40" s="464"/>
      <c r="G40" s="464"/>
      <c r="H40" s="465">
        <f t="shared" ca="1" si="2"/>
        <v>1.4520000000000002</v>
      </c>
      <c r="I40" s="715"/>
      <c r="J40" s="614"/>
      <c r="K40" s="490" t="s">
        <v>201</v>
      </c>
      <c r="L40" s="491" t="s">
        <v>302</v>
      </c>
      <c r="M40" s="469">
        <v>15</v>
      </c>
      <c r="N40" s="467">
        <v>36</v>
      </c>
      <c r="O40" s="716">
        <v>11</v>
      </c>
      <c r="P40" s="467">
        <v>91</v>
      </c>
      <c r="Q40" s="467">
        <v>12</v>
      </c>
      <c r="R40" s="467">
        <v>8</v>
      </c>
      <c r="S40" s="467">
        <v>20</v>
      </c>
      <c r="T40" s="467">
        <v>26</v>
      </c>
      <c r="U40" s="467">
        <v>0</v>
      </c>
      <c r="V40" s="467">
        <v>3</v>
      </c>
      <c r="W40" s="467">
        <v>13</v>
      </c>
      <c r="X40" s="467">
        <v>5</v>
      </c>
      <c r="Y40" s="467">
        <v>2</v>
      </c>
      <c r="Z40" s="467">
        <v>2</v>
      </c>
      <c r="AA40" s="467">
        <v>1</v>
      </c>
      <c r="AB40" s="467">
        <v>11</v>
      </c>
      <c r="AC40" s="492">
        <v>2</v>
      </c>
      <c r="AD40" s="492">
        <v>2</v>
      </c>
      <c r="AE40" s="492">
        <v>50</v>
      </c>
      <c r="AF40" s="492">
        <v>7</v>
      </c>
      <c r="AG40" s="492">
        <v>37</v>
      </c>
      <c r="AH40" s="492">
        <v>16</v>
      </c>
      <c r="AI40" s="492">
        <v>0</v>
      </c>
      <c r="AJ40" s="492">
        <v>6</v>
      </c>
      <c r="AK40" s="492">
        <v>16</v>
      </c>
      <c r="AL40" s="493">
        <v>3</v>
      </c>
      <c r="AM40" s="492">
        <v>40</v>
      </c>
      <c r="AN40" s="494">
        <v>5</v>
      </c>
      <c r="AO40" s="492">
        <v>35</v>
      </c>
      <c r="AP40" s="494">
        <v>35</v>
      </c>
      <c r="AQ40" s="493">
        <v>0.7</v>
      </c>
      <c r="AR40" s="493">
        <v>1.7</v>
      </c>
      <c r="AS40" s="877">
        <v>0</v>
      </c>
      <c r="AT40" s="968">
        <v>4</v>
      </c>
      <c r="AU40" s="989">
        <v>0.86</v>
      </c>
      <c r="AV40" s="978"/>
      <c r="AW40" s="403"/>
      <c r="AX40" s="403"/>
      <c r="AY40" s="403"/>
      <c r="AZ40" s="403"/>
      <c r="BA40" s="403"/>
      <c r="BB40" s="403"/>
      <c r="BC40" s="403"/>
      <c r="BD40" s="403"/>
      <c r="BE40" s="403"/>
      <c r="BF40" s="403"/>
      <c r="BG40" s="403"/>
      <c r="BH40" s="403"/>
      <c r="BI40" s="403"/>
      <c r="BJ40" s="403"/>
      <c r="BK40" s="403"/>
      <c r="BL40" s="403"/>
      <c r="BM40" s="403"/>
      <c r="BN40" s="403"/>
      <c r="BO40" s="403"/>
      <c r="BP40" s="403"/>
      <c r="BQ40" s="403"/>
      <c r="BR40" s="403"/>
      <c r="BS40" s="403"/>
      <c r="BT40" s="403"/>
      <c r="BU40" s="403"/>
      <c r="BV40" s="403"/>
      <c r="BW40" s="403"/>
      <c r="BX40" s="403"/>
      <c r="BY40" s="403"/>
      <c r="BZ40" s="403"/>
      <c r="CA40" s="403"/>
      <c r="CB40" s="403"/>
      <c r="CC40" s="403"/>
      <c r="CD40" s="403"/>
      <c r="CE40" s="403"/>
    </row>
    <row r="41" spans="1:83" ht="13.5" customHeight="1">
      <c r="A41" s="403"/>
      <c r="B41" s="408"/>
      <c r="C41" s="461" t="s">
        <v>193</v>
      </c>
      <c r="D41" s="482">
        <f t="shared" ca="1" si="1"/>
        <v>0</v>
      </c>
      <c r="E41" s="777">
        <f t="shared" ca="1" si="3"/>
        <v>2</v>
      </c>
      <c r="F41" s="464"/>
      <c r="G41" s="464"/>
      <c r="H41" s="465">
        <f t="shared" ca="1" si="2"/>
        <v>1.2</v>
      </c>
      <c r="I41" s="715"/>
      <c r="J41" s="614"/>
      <c r="K41" s="490"/>
      <c r="L41" s="491" t="s">
        <v>303</v>
      </c>
      <c r="M41" s="469">
        <v>3</v>
      </c>
      <c r="N41" s="467">
        <v>20</v>
      </c>
      <c r="O41" s="716">
        <v>17</v>
      </c>
      <c r="P41" s="467">
        <v>44</v>
      </c>
      <c r="Q41" s="467">
        <v>0</v>
      </c>
      <c r="R41" s="467">
        <v>5</v>
      </c>
      <c r="S41" s="467">
        <v>21</v>
      </c>
      <c r="T41" s="467">
        <v>11</v>
      </c>
      <c r="U41" s="467">
        <v>20</v>
      </c>
      <c r="V41" s="467">
        <v>0</v>
      </c>
      <c r="W41" s="467">
        <v>3</v>
      </c>
      <c r="X41" s="467">
        <v>0</v>
      </c>
      <c r="Y41" s="467">
        <v>4</v>
      </c>
      <c r="Z41" s="467">
        <v>2</v>
      </c>
      <c r="AA41" s="467">
        <v>2</v>
      </c>
      <c r="AB41" s="467">
        <v>4</v>
      </c>
      <c r="AC41" s="492">
        <v>2</v>
      </c>
      <c r="AD41" s="492">
        <v>8</v>
      </c>
      <c r="AE41" s="492">
        <v>6</v>
      </c>
      <c r="AF41" s="492">
        <v>2</v>
      </c>
      <c r="AG41" s="492">
        <v>2</v>
      </c>
      <c r="AH41" s="492">
        <v>16</v>
      </c>
      <c r="AI41" s="492">
        <v>1</v>
      </c>
      <c r="AJ41" s="492">
        <v>3</v>
      </c>
      <c r="AK41" s="492">
        <v>1</v>
      </c>
      <c r="AL41" s="493">
        <v>2</v>
      </c>
      <c r="AM41" s="492">
        <v>2</v>
      </c>
      <c r="AN41" s="494">
        <v>1</v>
      </c>
      <c r="AO41" s="492">
        <v>6</v>
      </c>
      <c r="AP41" s="494">
        <v>3</v>
      </c>
      <c r="AQ41" s="493">
        <v>2.5</v>
      </c>
      <c r="AR41" s="493">
        <v>2.5</v>
      </c>
      <c r="AS41" s="877">
        <v>0</v>
      </c>
      <c r="AT41" s="968">
        <v>0</v>
      </c>
      <c r="AU41" s="989">
        <v>1</v>
      </c>
      <c r="AV41" s="978"/>
      <c r="AW41" s="403"/>
      <c r="AX41" s="403"/>
      <c r="AY41" s="403"/>
      <c r="AZ41" s="403"/>
      <c r="BA41" s="403"/>
      <c r="BB41" s="403"/>
      <c r="BC41" s="403"/>
      <c r="BD41" s="403"/>
      <c r="BE41" s="403"/>
      <c r="BF41" s="403"/>
      <c r="BG41" s="403"/>
      <c r="BH41" s="403"/>
      <c r="BI41" s="403"/>
      <c r="BJ41" s="403"/>
      <c r="BK41" s="403"/>
      <c r="BL41" s="403"/>
      <c r="BM41" s="403"/>
      <c r="BN41" s="403"/>
      <c r="BO41" s="403"/>
      <c r="BP41" s="403"/>
      <c r="BQ41" s="403"/>
      <c r="BR41" s="403"/>
      <c r="BS41" s="403"/>
      <c r="BT41" s="403"/>
      <c r="BU41" s="403"/>
      <c r="BV41" s="403"/>
      <c r="BW41" s="403"/>
      <c r="BX41" s="403"/>
      <c r="BY41" s="403"/>
      <c r="BZ41" s="403"/>
      <c r="CA41" s="403"/>
      <c r="CB41" s="403"/>
      <c r="CC41" s="403"/>
      <c r="CD41" s="403"/>
      <c r="CE41" s="403"/>
    </row>
    <row r="42" spans="1:83" ht="13.5" customHeight="1">
      <c r="A42" s="403"/>
      <c r="B42" s="408"/>
      <c r="C42" s="461" t="s">
        <v>194</v>
      </c>
      <c r="D42" s="482">
        <f t="shared" ca="1" si="1"/>
        <v>0</v>
      </c>
      <c r="E42" s="777">
        <f t="shared" ca="1" si="3"/>
        <v>1.7119999999999997</v>
      </c>
      <c r="F42" s="464"/>
      <c r="G42" s="464"/>
      <c r="H42" s="465">
        <f t="shared" ca="1" si="2"/>
        <v>3.2239999999999993</v>
      </c>
      <c r="I42" s="715"/>
      <c r="J42" s="614"/>
      <c r="K42" s="490"/>
      <c r="L42" s="491" t="s">
        <v>304</v>
      </c>
      <c r="M42" s="469">
        <v>0.4</v>
      </c>
      <c r="N42" s="467">
        <v>15</v>
      </c>
      <c r="O42" s="716">
        <v>5</v>
      </c>
      <c r="P42" s="467">
        <v>11</v>
      </c>
      <c r="Q42" s="467">
        <v>17</v>
      </c>
      <c r="R42" s="467">
        <v>1</v>
      </c>
      <c r="S42" s="467">
        <v>13</v>
      </c>
      <c r="T42" s="467">
        <v>27</v>
      </c>
      <c r="U42" s="467">
        <v>7</v>
      </c>
      <c r="V42" s="467">
        <v>0</v>
      </c>
      <c r="W42" s="467">
        <v>1</v>
      </c>
      <c r="X42" s="467">
        <v>1</v>
      </c>
      <c r="Y42" s="467">
        <v>0</v>
      </c>
      <c r="Z42" s="467">
        <v>5</v>
      </c>
      <c r="AA42" s="467">
        <v>0</v>
      </c>
      <c r="AB42" s="467">
        <v>2</v>
      </c>
      <c r="AC42" s="492">
        <v>2</v>
      </c>
      <c r="AD42" s="492">
        <v>14</v>
      </c>
      <c r="AE42" s="492">
        <v>1</v>
      </c>
      <c r="AF42" s="492">
        <v>9</v>
      </c>
      <c r="AG42" s="492">
        <v>0</v>
      </c>
      <c r="AH42" s="492">
        <v>6</v>
      </c>
      <c r="AI42" s="492">
        <v>1</v>
      </c>
      <c r="AJ42" s="492">
        <v>2</v>
      </c>
      <c r="AK42" s="492">
        <v>3</v>
      </c>
      <c r="AL42" s="493">
        <v>0</v>
      </c>
      <c r="AM42" s="492">
        <v>0</v>
      </c>
      <c r="AN42" s="494">
        <v>0</v>
      </c>
      <c r="AO42" s="492">
        <v>0</v>
      </c>
      <c r="AP42" s="494">
        <v>1</v>
      </c>
      <c r="AQ42" s="493">
        <v>3.95</v>
      </c>
      <c r="AR42" s="493">
        <v>9.5</v>
      </c>
      <c r="AS42" s="877">
        <v>1</v>
      </c>
      <c r="AT42" s="968">
        <v>0</v>
      </c>
      <c r="AU42" s="989">
        <v>1.67</v>
      </c>
      <c r="AV42" s="978"/>
      <c r="AW42" s="403"/>
      <c r="AX42" s="403"/>
      <c r="AY42" s="403"/>
      <c r="AZ42" s="403"/>
      <c r="BA42" s="403"/>
      <c r="BB42" s="403"/>
      <c r="BC42" s="403"/>
      <c r="BD42" s="403"/>
      <c r="BE42" s="403"/>
      <c r="BF42" s="403"/>
      <c r="BG42" s="403"/>
      <c r="BH42" s="403"/>
      <c r="BI42" s="403"/>
      <c r="BJ42" s="403"/>
      <c r="BK42" s="403"/>
      <c r="BL42" s="403"/>
      <c r="BM42" s="403"/>
      <c r="BN42" s="403"/>
      <c r="BO42" s="403"/>
      <c r="BP42" s="403"/>
      <c r="BQ42" s="403"/>
      <c r="BR42" s="403"/>
      <c r="BS42" s="403"/>
      <c r="BT42" s="403"/>
      <c r="BU42" s="403"/>
      <c r="BV42" s="403"/>
      <c r="BW42" s="403"/>
      <c r="BX42" s="403"/>
      <c r="BY42" s="403"/>
      <c r="BZ42" s="403"/>
      <c r="CA42" s="403"/>
      <c r="CB42" s="403"/>
      <c r="CC42" s="403"/>
      <c r="CD42" s="403"/>
      <c r="CE42" s="403"/>
    </row>
    <row r="43" spans="1:83" ht="13.5" customHeight="1" thickBot="1">
      <c r="A43" s="403"/>
      <c r="B43" s="408"/>
      <c r="C43" s="448" t="s">
        <v>195</v>
      </c>
      <c r="D43" s="506">
        <f t="shared" ca="1" si="1"/>
        <v>0</v>
      </c>
      <c r="E43" s="778">
        <f t="shared" ca="1" si="3"/>
        <v>8.1893333333333338</v>
      </c>
      <c r="F43" s="475"/>
      <c r="G43" s="475"/>
      <c r="H43" s="476">
        <f t="shared" ca="1" si="2"/>
        <v>15.360000000000003</v>
      </c>
      <c r="I43" s="717"/>
      <c r="J43" s="614"/>
      <c r="K43" s="490"/>
      <c r="L43" s="509" t="s">
        <v>305</v>
      </c>
      <c r="M43" s="480">
        <v>0</v>
      </c>
      <c r="N43" s="478">
        <v>3</v>
      </c>
      <c r="O43" s="718">
        <v>0</v>
      </c>
      <c r="P43" s="478">
        <v>7</v>
      </c>
      <c r="Q43" s="478">
        <v>9</v>
      </c>
      <c r="R43" s="478">
        <v>11</v>
      </c>
      <c r="S43" s="478">
        <v>11</v>
      </c>
      <c r="T43" s="478">
        <v>1</v>
      </c>
      <c r="U43" s="478">
        <v>4</v>
      </c>
      <c r="V43" s="478">
        <v>0</v>
      </c>
      <c r="W43" s="478">
        <v>1</v>
      </c>
      <c r="X43" s="478">
        <v>4</v>
      </c>
      <c r="Y43" s="478">
        <v>3</v>
      </c>
      <c r="Z43" s="478">
        <v>31</v>
      </c>
      <c r="AA43" s="478">
        <v>5</v>
      </c>
      <c r="AB43" s="478">
        <v>0</v>
      </c>
      <c r="AC43" s="510">
        <v>2</v>
      </c>
      <c r="AD43" s="510">
        <v>7</v>
      </c>
      <c r="AE43" s="510">
        <v>11</v>
      </c>
      <c r="AF43" s="510">
        <v>1</v>
      </c>
      <c r="AG43" s="510">
        <v>0</v>
      </c>
      <c r="AH43" s="510">
        <v>0</v>
      </c>
      <c r="AI43" s="510">
        <v>13</v>
      </c>
      <c r="AJ43" s="510">
        <v>2</v>
      </c>
      <c r="AK43" s="510">
        <v>6.67</v>
      </c>
      <c r="AL43" s="511">
        <v>1</v>
      </c>
      <c r="AM43" s="510">
        <v>1</v>
      </c>
      <c r="AN43" s="512">
        <f>1*5/6</f>
        <v>0.83333333333333337</v>
      </c>
      <c r="AO43" s="510">
        <v>0.83</v>
      </c>
      <c r="AP43" s="512">
        <v>1.43</v>
      </c>
      <c r="AQ43" s="511">
        <v>4.2</v>
      </c>
      <c r="AR43" s="511">
        <v>40</v>
      </c>
      <c r="AS43" s="878">
        <v>9</v>
      </c>
      <c r="AT43" s="969">
        <v>6.6</v>
      </c>
      <c r="AU43" s="990">
        <v>17</v>
      </c>
      <c r="AV43" s="979"/>
      <c r="AW43" s="403"/>
      <c r="AX43" s="403"/>
      <c r="AY43" s="403"/>
      <c r="AZ43" s="403"/>
      <c r="BA43" s="403"/>
      <c r="BB43" s="403"/>
      <c r="BC43" s="403"/>
      <c r="BD43" s="403"/>
      <c r="BE43" s="403"/>
      <c r="BF43" s="403"/>
      <c r="BG43" s="403"/>
      <c r="BH43" s="403"/>
      <c r="BI43" s="403"/>
      <c r="BJ43" s="403"/>
      <c r="BK43" s="403"/>
      <c r="BL43" s="403"/>
      <c r="BM43" s="403"/>
      <c r="BN43" s="403"/>
      <c r="BO43" s="403"/>
      <c r="BP43" s="403"/>
      <c r="BQ43" s="403"/>
      <c r="BR43" s="403"/>
      <c r="BS43" s="403"/>
      <c r="BT43" s="403"/>
      <c r="BU43" s="403"/>
      <c r="BV43" s="403"/>
      <c r="BW43" s="403"/>
      <c r="BX43" s="403"/>
      <c r="BY43" s="403"/>
      <c r="BZ43" s="403"/>
      <c r="CA43" s="403"/>
      <c r="CB43" s="403"/>
      <c r="CC43" s="403"/>
      <c r="CD43" s="403"/>
      <c r="CE43" s="403"/>
    </row>
    <row r="44" spans="1:83" ht="13.5" customHeight="1">
      <c r="A44" s="403"/>
      <c r="B44" s="407"/>
      <c r="C44" s="529" t="s">
        <v>189</v>
      </c>
      <c r="D44" s="482">
        <f t="shared" ca="1" si="1"/>
        <v>0</v>
      </c>
      <c r="E44" s="777">
        <f t="shared" ca="1" si="3"/>
        <v>15.581999999999999</v>
      </c>
      <c r="F44" s="453"/>
      <c r="G44" s="453"/>
      <c r="H44" s="454">
        <f t="shared" ca="1" si="2"/>
        <v>28.306000000000001</v>
      </c>
      <c r="I44" s="715"/>
      <c r="J44" s="614"/>
      <c r="K44" s="434"/>
      <c r="L44" s="484" t="s">
        <v>300</v>
      </c>
      <c r="M44" s="719">
        <v>2</v>
      </c>
      <c r="N44" s="517">
        <v>33</v>
      </c>
      <c r="O44" s="720">
        <v>5</v>
      </c>
      <c r="P44" s="517">
        <v>4</v>
      </c>
      <c r="Q44" s="517">
        <v>9</v>
      </c>
      <c r="R44" s="517">
        <v>20</v>
      </c>
      <c r="S44" s="517">
        <v>17</v>
      </c>
      <c r="T44" s="517">
        <v>0</v>
      </c>
      <c r="U44" s="517">
        <v>0</v>
      </c>
      <c r="V44" s="517">
        <v>0</v>
      </c>
      <c r="W44" s="517">
        <v>3</v>
      </c>
      <c r="X44" s="517">
        <v>1</v>
      </c>
      <c r="Y44" s="517">
        <v>17</v>
      </c>
      <c r="Z44" s="517">
        <v>50</v>
      </c>
      <c r="AA44" s="517">
        <v>25</v>
      </c>
      <c r="AB44" s="517">
        <v>0</v>
      </c>
      <c r="AC44" s="518">
        <v>3</v>
      </c>
      <c r="AD44" s="518">
        <v>12</v>
      </c>
      <c r="AE44" s="518">
        <v>15</v>
      </c>
      <c r="AF44" s="518">
        <v>63</v>
      </c>
      <c r="AG44" s="518">
        <v>0</v>
      </c>
      <c r="AH44" s="518">
        <v>0</v>
      </c>
      <c r="AI44" s="518">
        <v>52</v>
      </c>
      <c r="AJ44" s="518">
        <v>11</v>
      </c>
      <c r="AK44" s="518">
        <v>8</v>
      </c>
      <c r="AL44" s="519">
        <v>2</v>
      </c>
      <c r="AM44" s="518">
        <v>3</v>
      </c>
      <c r="AN44" s="520">
        <v>0</v>
      </c>
      <c r="AO44" s="518">
        <v>6</v>
      </c>
      <c r="AP44" s="520">
        <v>3.29</v>
      </c>
      <c r="AQ44" s="519">
        <v>25</v>
      </c>
      <c r="AR44" s="519">
        <v>92</v>
      </c>
      <c r="AS44" s="876">
        <v>12.2</v>
      </c>
      <c r="AT44" s="967">
        <v>3</v>
      </c>
      <c r="AU44" s="988">
        <v>9.33</v>
      </c>
      <c r="AV44" s="977"/>
      <c r="AW44" s="403"/>
      <c r="AX44" s="403"/>
      <c r="AY44" s="403"/>
      <c r="AZ44" s="403"/>
      <c r="BA44" s="403"/>
      <c r="BB44" s="403"/>
      <c r="BC44" s="403"/>
      <c r="BD44" s="403"/>
      <c r="BE44" s="403"/>
      <c r="BF44" s="403"/>
      <c r="BG44" s="403"/>
      <c r="BH44" s="403"/>
      <c r="BI44" s="403"/>
      <c r="BJ44" s="403"/>
      <c r="BK44" s="403"/>
      <c r="BL44" s="403"/>
      <c r="BM44" s="403"/>
      <c r="BN44" s="403"/>
      <c r="BO44" s="403"/>
      <c r="BP44" s="403"/>
      <c r="BQ44" s="403"/>
      <c r="BR44" s="403"/>
      <c r="BS44" s="403"/>
      <c r="BT44" s="403"/>
      <c r="BU44" s="403"/>
      <c r="BV44" s="403"/>
      <c r="BW44" s="403"/>
      <c r="BX44" s="403"/>
      <c r="BY44" s="403"/>
      <c r="BZ44" s="403"/>
      <c r="CA44" s="403"/>
      <c r="CB44" s="403"/>
      <c r="CC44" s="403"/>
      <c r="CD44" s="403"/>
      <c r="CE44" s="403"/>
    </row>
    <row r="45" spans="1:83" ht="13.5" customHeight="1">
      <c r="A45" s="403"/>
      <c r="B45" s="408"/>
      <c r="C45" s="461" t="s">
        <v>190</v>
      </c>
      <c r="D45" s="482">
        <f t="shared" ca="1" si="1"/>
        <v>0</v>
      </c>
      <c r="E45" s="777">
        <f t="shared" ca="1" si="3"/>
        <v>26.04</v>
      </c>
      <c r="F45" s="464"/>
      <c r="G45" s="464"/>
      <c r="H45" s="465">
        <f t="shared" ca="1" si="2"/>
        <v>38.479999999999997</v>
      </c>
      <c r="I45" s="715"/>
      <c r="J45" s="614"/>
      <c r="K45" s="490"/>
      <c r="L45" s="491" t="s">
        <v>301</v>
      </c>
      <c r="M45" s="469">
        <v>16</v>
      </c>
      <c r="N45" s="467">
        <v>13</v>
      </c>
      <c r="O45" s="716">
        <v>21</v>
      </c>
      <c r="P45" s="467">
        <v>5</v>
      </c>
      <c r="Q45" s="467">
        <v>10</v>
      </c>
      <c r="R45" s="467">
        <v>24</v>
      </c>
      <c r="S45" s="467">
        <v>49</v>
      </c>
      <c r="T45" s="467">
        <v>0</v>
      </c>
      <c r="U45" s="467">
        <v>2</v>
      </c>
      <c r="V45" s="467">
        <v>0</v>
      </c>
      <c r="W45" s="467">
        <v>31</v>
      </c>
      <c r="X45" s="467">
        <v>0</v>
      </c>
      <c r="Y45" s="467">
        <v>39</v>
      </c>
      <c r="Z45" s="467">
        <v>16</v>
      </c>
      <c r="AA45" s="467">
        <v>5</v>
      </c>
      <c r="AB45" s="467">
        <v>28</v>
      </c>
      <c r="AC45" s="492">
        <v>3</v>
      </c>
      <c r="AD45" s="492">
        <v>28</v>
      </c>
      <c r="AE45" s="492">
        <v>3</v>
      </c>
      <c r="AF45" s="492">
        <v>36</v>
      </c>
      <c r="AG45" s="492">
        <v>37</v>
      </c>
      <c r="AH45" s="492">
        <v>5</v>
      </c>
      <c r="AI45" s="492">
        <v>50</v>
      </c>
      <c r="AJ45" s="492">
        <v>16</v>
      </c>
      <c r="AK45" s="492">
        <v>8</v>
      </c>
      <c r="AL45" s="493">
        <v>11</v>
      </c>
      <c r="AM45" s="492">
        <v>16</v>
      </c>
      <c r="AN45" s="494">
        <v>30</v>
      </c>
      <c r="AO45" s="492">
        <v>6</v>
      </c>
      <c r="AP45" s="494">
        <v>5</v>
      </c>
      <c r="AQ45" s="493">
        <v>27</v>
      </c>
      <c r="AR45" s="493">
        <v>78.599999999999994</v>
      </c>
      <c r="AS45" s="877">
        <v>20.8</v>
      </c>
      <c r="AT45" s="968">
        <v>7</v>
      </c>
      <c r="AU45" s="989">
        <v>59</v>
      </c>
      <c r="AV45" s="978"/>
      <c r="AW45" s="403"/>
      <c r="AX45" s="403"/>
      <c r="AY45" s="403"/>
      <c r="AZ45" s="403"/>
      <c r="BA45" s="403"/>
      <c r="BB45" s="403"/>
      <c r="BC45" s="403"/>
      <c r="BD45" s="403"/>
      <c r="BE45" s="403"/>
      <c r="BF45" s="403"/>
      <c r="BG45" s="403"/>
      <c r="BH45" s="403"/>
      <c r="BI45" s="403"/>
      <c r="BJ45" s="403"/>
      <c r="BK45" s="403"/>
      <c r="BL45" s="403"/>
      <c r="BM45" s="403"/>
      <c r="BN45" s="403"/>
      <c r="BO45" s="403"/>
      <c r="BP45" s="403"/>
      <c r="BQ45" s="403"/>
      <c r="BR45" s="403"/>
      <c r="BS45" s="403"/>
      <c r="BT45" s="403"/>
      <c r="BU45" s="403"/>
      <c r="BV45" s="403"/>
      <c r="BW45" s="403"/>
      <c r="BX45" s="403"/>
      <c r="BY45" s="403"/>
      <c r="BZ45" s="403"/>
      <c r="CA45" s="403"/>
      <c r="CB45" s="403"/>
      <c r="CC45" s="403"/>
      <c r="CD45" s="403"/>
      <c r="CE45" s="403"/>
    </row>
    <row r="46" spans="1:83" ht="13.5" customHeight="1">
      <c r="A46" s="403"/>
      <c r="B46" s="408" t="s">
        <v>202</v>
      </c>
      <c r="C46" s="461" t="s">
        <v>192</v>
      </c>
      <c r="D46" s="482">
        <f t="shared" ca="1" si="1"/>
        <v>0</v>
      </c>
      <c r="E46" s="777">
        <f t="shared" ca="1" si="3"/>
        <v>55.667000000000009</v>
      </c>
      <c r="F46" s="464"/>
      <c r="G46" s="464"/>
      <c r="H46" s="465">
        <f t="shared" ca="1" si="2"/>
        <v>66.654000000000011</v>
      </c>
      <c r="I46" s="715"/>
      <c r="J46" s="614"/>
      <c r="K46" s="490" t="s">
        <v>202</v>
      </c>
      <c r="L46" s="491" t="s">
        <v>302</v>
      </c>
      <c r="M46" s="469">
        <v>30</v>
      </c>
      <c r="N46" s="467">
        <v>30</v>
      </c>
      <c r="O46" s="716">
        <v>45</v>
      </c>
      <c r="P46" s="467">
        <v>46</v>
      </c>
      <c r="Q46" s="467">
        <v>34</v>
      </c>
      <c r="R46" s="467">
        <v>95</v>
      </c>
      <c r="S46" s="467">
        <v>162</v>
      </c>
      <c r="T46" s="467">
        <v>16</v>
      </c>
      <c r="U46" s="467">
        <v>0</v>
      </c>
      <c r="V46" s="467">
        <v>2</v>
      </c>
      <c r="W46" s="467">
        <v>82</v>
      </c>
      <c r="X46" s="467">
        <v>12</v>
      </c>
      <c r="Y46" s="467">
        <v>43</v>
      </c>
      <c r="Z46" s="467">
        <v>2</v>
      </c>
      <c r="AA46" s="467">
        <v>8</v>
      </c>
      <c r="AB46" s="467">
        <v>64</v>
      </c>
      <c r="AC46" s="492">
        <v>3</v>
      </c>
      <c r="AD46" s="492">
        <v>65</v>
      </c>
      <c r="AE46" s="492">
        <v>83</v>
      </c>
      <c r="AF46" s="492">
        <v>3</v>
      </c>
      <c r="AG46" s="492">
        <v>16</v>
      </c>
      <c r="AH46" s="492">
        <v>7</v>
      </c>
      <c r="AI46" s="492">
        <v>54</v>
      </c>
      <c r="AJ46" s="492">
        <v>30</v>
      </c>
      <c r="AK46" s="492">
        <v>10</v>
      </c>
      <c r="AL46" s="493">
        <v>24</v>
      </c>
      <c r="AM46" s="492">
        <v>11</v>
      </c>
      <c r="AN46" s="494">
        <v>75</v>
      </c>
      <c r="AO46" s="492">
        <v>18</v>
      </c>
      <c r="AP46" s="494">
        <v>95.4</v>
      </c>
      <c r="AQ46" s="493">
        <v>91.4</v>
      </c>
      <c r="AR46" s="493">
        <v>82.4</v>
      </c>
      <c r="AS46" s="877">
        <v>89.8</v>
      </c>
      <c r="AT46" s="968">
        <v>23</v>
      </c>
      <c r="AU46" s="989">
        <v>46.67</v>
      </c>
      <c r="AV46" s="978"/>
      <c r="AW46" s="403"/>
      <c r="AX46" s="403"/>
      <c r="AY46" s="403"/>
      <c r="AZ46" s="403"/>
      <c r="BA46" s="403"/>
      <c r="BB46" s="403"/>
      <c r="BC46" s="403"/>
      <c r="BD46" s="403"/>
      <c r="BE46" s="403"/>
      <c r="BF46" s="403"/>
      <c r="BG46" s="403"/>
      <c r="BH46" s="403"/>
      <c r="BI46" s="403"/>
      <c r="BJ46" s="403"/>
      <c r="BK46" s="403"/>
      <c r="BL46" s="403"/>
      <c r="BM46" s="403"/>
      <c r="BN46" s="403"/>
      <c r="BO46" s="403"/>
      <c r="BP46" s="403"/>
      <c r="BQ46" s="403"/>
      <c r="BR46" s="403"/>
      <c r="BS46" s="403"/>
      <c r="BT46" s="403"/>
      <c r="BU46" s="403"/>
      <c r="BV46" s="403"/>
      <c r="BW46" s="403"/>
      <c r="BX46" s="403"/>
      <c r="BY46" s="403"/>
      <c r="BZ46" s="403"/>
      <c r="CA46" s="403"/>
      <c r="CB46" s="403"/>
      <c r="CC46" s="403"/>
      <c r="CD46" s="403"/>
      <c r="CE46" s="403"/>
    </row>
    <row r="47" spans="1:83" ht="13.5" customHeight="1">
      <c r="A47" s="403"/>
      <c r="B47" s="408"/>
      <c r="C47" s="461" t="s">
        <v>193</v>
      </c>
      <c r="D47" s="482">
        <f t="shared" ca="1" si="1"/>
        <v>0</v>
      </c>
      <c r="E47" s="777">
        <f t="shared" ca="1" si="3"/>
        <v>85.838999999999999</v>
      </c>
      <c r="F47" s="464"/>
      <c r="G47" s="464"/>
      <c r="H47" s="465">
        <f t="shared" ca="1" si="2"/>
        <v>78.024000000000001</v>
      </c>
      <c r="I47" s="715"/>
      <c r="J47" s="614"/>
      <c r="K47" s="490"/>
      <c r="L47" s="491" t="s">
        <v>303</v>
      </c>
      <c r="M47" s="469">
        <v>40</v>
      </c>
      <c r="N47" s="467">
        <v>54</v>
      </c>
      <c r="O47" s="716">
        <v>15</v>
      </c>
      <c r="P47" s="467">
        <v>77</v>
      </c>
      <c r="Q47" s="467">
        <v>9</v>
      </c>
      <c r="R47" s="467">
        <v>26</v>
      </c>
      <c r="S47" s="467">
        <v>123</v>
      </c>
      <c r="T47" s="467">
        <v>54</v>
      </c>
      <c r="U47" s="467">
        <v>28</v>
      </c>
      <c r="V47" s="467">
        <v>1</v>
      </c>
      <c r="W47" s="467">
        <v>110</v>
      </c>
      <c r="X47" s="467">
        <v>62</v>
      </c>
      <c r="Y47" s="467">
        <v>52</v>
      </c>
      <c r="Z47" s="467">
        <v>5</v>
      </c>
      <c r="AA47" s="467">
        <v>16</v>
      </c>
      <c r="AB47" s="467">
        <v>162</v>
      </c>
      <c r="AC47" s="492">
        <v>7</v>
      </c>
      <c r="AD47" s="492">
        <v>69</v>
      </c>
      <c r="AE47" s="492">
        <v>69</v>
      </c>
      <c r="AF47" s="492">
        <v>49</v>
      </c>
      <c r="AG47" s="492">
        <v>66</v>
      </c>
      <c r="AH47" s="492">
        <v>9</v>
      </c>
      <c r="AI47" s="492">
        <v>16</v>
      </c>
      <c r="AJ47" s="492">
        <v>16</v>
      </c>
      <c r="AK47" s="492">
        <v>13</v>
      </c>
      <c r="AL47" s="493">
        <v>30</v>
      </c>
      <c r="AM47" s="492">
        <v>68</v>
      </c>
      <c r="AN47" s="494">
        <v>122</v>
      </c>
      <c r="AO47" s="492">
        <v>34</v>
      </c>
      <c r="AP47" s="494">
        <v>214.27</v>
      </c>
      <c r="AQ47" s="493">
        <v>97.3</v>
      </c>
      <c r="AR47" s="493">
        <v>60</v>
      </c>
      <c r="AS47" s="877">
        <v>79.2</v>
      </c>
      <c r="AT47" s="968">
        <v>110</v>
      </c>
      <c r="AU47" s="989">
        <v>43.62</v>
      </c>
      <c r="AV47" s="978"/>
      <c r="AW47" s="403"/>
      <c r="AX47" s="403"/>
      <c r="AY47" s="403"/>
      <c r="AZ47" s="403"/>
      <c r="BA47" s="403"/>
      <c r="BB47" s="403"/>
      <c r="BC47" s="403"/>
      <c r="BD47" s="403"/>
      <c r="BE47" s="403"/>
      <c r="BF47" s="403"/>
      <c r="BG47" s="403"/>
      <c r="BH47" s="403"/>
      <c r="BI47" s="403"/>
      <c r="BJ47" s="403"/>
      <c r="BK47" s="403"/>
      <c r="BL47" s="403"/>
      <c r="BM47" s="403"/>
      <c r="BN47" s="403"/>
      <c r="BO47" s="403"/>
      <c r="BP47" s="403"/>
      <c r="BQ47" s="403"/>
      <c r="BR47" s="403"/>
      <c r="BS47" s="403"/>
      <c r="BT47" s="403"/>
      <c r="BU47" s="403"/>
      <c r="BV47" s="403"/>
      <c r="BW47" s="403"/>
      <c r="BX47" s="403"/>
      <c r="BY47" s="403"/>
      <c r="BZ47" s="403"/>
      <c r="CA47" s="403"/>
      <c r="CB47" s="403"/>
      <c r="CC47" s="403"/>
      <c r="CD47" s="403"/>
      <c r="CE47" s="403"/>
    </row>
    <row r="48" spans="1:83" ht="13.5" customHeight="1">
      <c r="A48" s="403"/>
      <c r="B48" s="408"/>
      <c r="C48" s="461" t="s">
        <v>194</v>
      </c>
      <c r="D48" s="482">
        <f t="shared" ca="1" si="1"/>
        <v>0</v>
      </c>
      <c r="E48" s="777">
        <f t="shared" ca="1" si="3"/>
        <v>73.429000000000002</v>
      </c>
      <c r="F48" s="464"/>
      <c r="G48" s="464"/>
      <c r="H48" s="465">
        <f t="shared" ca="1" si="2"/>
        <v>57.391999999999996</v>
      </c>
      <c r="I48" s="715"/>
      <c r="J48" s="614"/>
      <c r="K48" s="490"/>
      <c r="L48" s="491" t="s">
        <v>304</v>
      </c>
      <c r="M48" s="469">
        <v>9</v>
      </c>
      <c r="N48" s="467">
        <v>82</v>
      </c>
      <c r="O48" s="716">
        <v>18</v>
      </c>
      <c r="P48" s="467">
        <v>146</v>
      </c>
      <c r="Q48" s="467">
        <v>145</v>
      </c>
      <c r="R48" s="467">
        <v>25</v>
      </c>
      <c r="S48" s="467">
        <v>50</v>
      </c>
      <c r="T48" s="467">
        <v>248</v>
      </c>
      <c r="U48" s="467">
        <v>20</v>
      </c>
      <c r="V48" s="467">
        <v>7</v>
      </c>
      <c r="W48" s="467">
        <v>154</v>
      </c>
      <c r="X48" s="467">
        <v>38</v>
      </c>
      <c r="Y48" s="467">
        <v>73</v>
      </c>
      <c r="Z48" s="467">
        <v>4</v>
      </c>
      <c r="AA48" s="467">
        <v>6</v>
      </c>
      <c r="AB48" s="467">
        <v>52</v>
      </c>
      <c r="AC48" s="492">
        <v>2</v>
      </c>
      <c r="AD48" s="492">
        <v>81</v>
      </c>
      <c r="AE48" s="492">
        <v>1</v>
      </c>
      <c r="AF48" s="492">
        <v>18</v>
      </c>
      <c r="AG48" s="492">
        <v>37</v>
      </c>
      <c r="AH48" s="492">
        <v>5</v>
      </c>
      <c r="AI48" s="492">
        <v>3</v>
      </c>
      <c r="AJ48" s="492">
        <v>4</v>
      </c>
      <c r="AK48" s="492">
        <v>10</v>
      </c>
      <c r="AL48" s="493">
        <v>69</v>
      </c>
      <c r="AM48" s="492">
        <v>74</v>
      </c>
      <c r="AN48" s="494">
        <v>56</v>
      </c>
      <c r="AO48" s="492">
        <v>33</v>
      </c>
      <c r="AP48" s="494">
        <v>215.33</v>
      </c>
      <c r="AQ48" s="493">
        <v>48.25</v>
      </c>
      <c r="AR48" s="493">
        <v>58</v>
      </c>
      <c r="AS48" s="877">
        <v>46</v>
      </c>
      <c r="AT48" s="968">
        <v>96</v>
      </c>
      <c r="AU48" s="989">
        <v>38.71</v>
      </c>
      <c r="AV48" s="978"/>
      <c r="AW48" s="403"/>
      <c r="AX48" s="403"/>
      <c r="AY48" s="403"/>
      <c r="AZ48" s="403"/>
      <c r="BA48" s="403"/>
      <c r="BB48" s="403"/>
      <c r="BC48" s="403"/>
      <c r="BD48" s="403"/>
      <c r="BE48" s="403"/>
      <c r="BF48" s="403"/>
      <c r="BG48" s="403"/>
      <c r="BH48" s="403"/>
      <c r="BI48" s="403"/>
      <c r="BJ48" s="403"/>
      <c r="BK48" s="403"/>
      <c r="BL48" s="403"/>
      <c r="BM48" s="403"/>
      <c r="BN48" s="403"/>
      <c r="BO48" s="403"/>
      <c r="BP48" s="403"/>
      <c r="BQ48" s="403"/>
      <c r="BR48" s="403"/>
      <c r="BS48" s="403"/>
      <c r="BT48" s="403"/>
      <c r="BU48" s="403"/>
      <c r="BV48" s="403"/>
      <c r="BW48" s="403"/>
      <c r="BX48" s="403"/>
      <c r="BY48" s="403"/>
      <c r="BZ48" s="403"/>
      <c r="CA48" s="403"/>
      <c r="CB48" s="403"/>
      <c r="CC48" s="403"/>
      <c r="CD48" s="403"/>
      <c r="CE48" s="403"/>
    </row>
    <row r="49" spans="1:83" ht="13.5" customHeight="1" thickBot="1">
      <c r="A49" s="403"/>
      <c r="B49" s="472"/>
      <c r="C49" s="448" t="s">
        <v>195</v>
      </c>
      <c r="D49" s="506">
        <f t="shared" ca="1" si="1"/>
        <v>0</v>
      </c>
      <c r="E49" s="778">
        <f t="shared" ca="1" si="3"/>
        <v>57.297000000000004</v>
      </c>
      <c r="F49" s="475"/>
      <c r="G49" s="475"/>
      <c r="H49" s="476">
        <f t="shared" ca="1" si="2"/>
        <v>43.660000000000004</v>
      </c>
      <c r="I49" s="717"/>
      <c r="J49" s="614"/>
      <c r="K49" s="508"/>
      <c r="L49" s="509" t="s">
        <v>305</v>
      </c>
      <c r="M49" s="726">
        <v>23</v>
      </c>
      <c r="N49" s="478">
        <v>63</v>
      </c>
      <c r="O49" s="727">
        <v>21</v>
      </c>
      <c r="P49" s="531">
        <v>67</v>
      </c>
      <c r="Q49" s="531">
        <v>38</v>
      </c>
      <c r="R49" s="531">
        <v>16</v>
      </c>
      <c r="S49" s="531">
        <v>19</v>
      </c>
      <c r="T49" s="531">
        <v>117</v>
      </c>
      <c r="U49" s="531">
        <v>78</v>
      </c>
      <c r="V49" s="531">
        <v>4</v>
      </c>
      <c r="W49" s="531">
        <v>251</v>
      </c>
      <c r="X49" s="531">
        <v>63</v>
      </c>
      <c r="Y49" s="531">
        <v>7</v>
      </c>
      <c r="Z49" s="531">
        <v>6</v>
      </c>
      <c r="AA49" s="531">
        <v>7</v>
      </c>
      <c r="AB49" s="531">
        <v>48</v>
      </c>
      <c r="AC49" s="500">
        <v>11</v>
      </c>
      <c r="AD49" s="500">
        <v>26</v>
      </c>
      <c r="AE49" s="500">
        <v>1</v>
      </c>
      <c r="AF49" s="500">
        <v>5</v>
      </c>
      <c r="AG49" s="500">
        <v>15</v>
      </c>
      <c r="AH49" s="500">
        <v>5</v>
      </c>
      <c r="AI49" s="500">
        <v>1</v>
      </c>
      <c r="AJ49" s="500">
        <v>0</v>
      </c>
      <c r="AK49" s="500">
        <v>32</v>
      </c>
      <c r="AL49" s="501">
        <v>54</v>
      </c>
      <c r="AM49" s="500">
        <v>33</v>
      </c>
      <c r="AN49" s="502">
        <v>74</v>
      </c>
      <c r="AO49" s="500">
        <v>72</v>
      </c>
      <c r="AP49" s="502">
        <v>121.67</v>
      </c>
      <c r="AQ49" s="501">
        <v>36</v>
      </c>
      <c r="AR49" s="501">
        <v>4.3</v>
      </c>
      <c r="AS49" s="880">
        <v>15</v>
      </c>
      <c r="AT49" s="971">
        <v>155</v>
      </c>
      <c r="AU49" s="992">
        <v>8</v>
      </c>
      <c r="AV49" s="981"/>
      <c r="AW49" s="403"/>
      <c r="AX49" s="403"/>
      <c r="AY49" s="403"/>
      <c r="AZ49" s="403"/>
      <c r="BA49" s="403"/>
      <c r="BB49" s="403"/>
      <c r="BC49" s="403"/>
      <c r="BD49" s="403"/>
      <c r="BE49" s="403"/>
      <c r="BF49" s="403"/>
      <c r="BG49" s="403"/>
      <c r="BH49" s="403"/>
      <c r="BI49" s="403"/>
      <c r="BJ49" s="403"/>
      <c r="BK49" s="403"/>
      <c r="BL49" s="403"/>
      <c r="BM49" s="403"/>
      <c r="BN49" s="403"/>
      <c r="BO49" s="403"/>
      <c r="BP49" s="403"/>
      <c r="BQ49" s="403"/>
      <c r="BR49" s="403"/>
      <c r="BS49" s="403"/>
      <c r="BT49" s="403"/>
      <c r="BU49" s="403"/>
      <c r="BV49" s="403"/>
      <c r="BW49" s="403"/>
      <c r="BX49" s="403"/>
      <c r="BY49" s="403"/>
      <c r="BZ49" s="403"/>
      <c r="CA49" s="403"/>
      <c r="CB49" s="403"/>
      <c r="CC49" s="403"/>
      <c r="CD49" s="403"/>
      <c r="CE49" s="403"/>
    </row>
    <row r="50" spans="1:83" ht="13.5" customHeight="1">
      <c r="A50" s="403"/>
      <c r="B50" s="408"/>
      <c r="C50" s="529" t="s">
        <v>189</v>
      </c>
      <c r="D50" s="482">
        <f t="shared" ca="1" si="1"/>
        <v>0</v>
      </c>
      <c r="E50" s="777">
        <f t="shared" ca="1" si="3"/>
        <v>55.802999999999997</v>
      </c>
      <c r="F50" s="453"/>
      <c r="G50" s="453"/>
      <c r="H50" s="454">
        <f t="shared" ca="1" si="2"/>
        <v>55.660000000000004</v>
      </c>
      <c r="I50" s="715"/>
      <c r="J50" s="614"/>
      <c r="K50" s="490"/>
      <c r="L50" s="484" t="s">
        <v>300</v>
      </c>
      <c r="M50" s="459">
        <v>18</v>
      </c>
      <c r="N50" s="517">
        <v>43</v>
      </c>
      <c r="O50" s="714">
        <v>85</v>
      </c>
      <c r="P50" s="457">
        <v>21</v>
      </c>
      <c r="Q50" s="457">
        <v>68</v>
      </c>
      <c r="R50" s="457">
        <v>22</v>
      </c>
      <c r="S50" s="457">
        <v>13</v>
      </c>
      <c r="T50" s="457">
        <v>18</v>
      </c>
      <c r="U50" s="457">
        <v>59</v>
      </c>
      <c r="V50" s="457">
        <v>5</v>
      </c>
      <c r="W50" s="457">
        <v>75</v>
      </c>
      <c r="X50" s="457">
        <v>0</v>
      </c>
      <c r="Y50" s="457">
        <v>3</v>
      </c>
      <c r="Z50" s="457">
        <v>10</v>
      </c>
      <c r="AA50" s="457">
        <v>4</v>
      </c>
      <c r="AB50" s="457">
        <v>41</v>
      </c>
      <c r="AC50" s="485">
        <v>18</v>
      </c>
      <c r="AD50" s="485">
        <v>30</v>
      </c>
      <c r="AE50" s="485">
        <v>7</v>
      </c>
      <c r="AF50" s="485">
        <v>21</v>
      </c>
      <c r="AG50" s="485">
        <v>25</v>
      </c>
      <c r="AH50" s="485">
        <v>4</v>
      </c>
      <c r="AI50" s="485">
        <v>0</v>
      </c>
      <c r="AJ50" s="485">
        <v>0</v>
      </c>
      <c r="AK50" s="485">
        <v>46</v>
      </c>
      <c r="AL50" s="486">
        <v>12</v>
      </c>
      <c r="AM50" s="485">
        <v>25</v>
      </c>
      <c r="AN50" s="487">
        <v>31</v>
      </c>
      <c r="AO50" s="485">
        <v>81.400000000000006</v>
      </c>
      <c r="AP50" s="487">
        <v>130.33000000000001</v>
      </c>
      <c r="AQ50" s="486">
        <v>11</v>
      </c>
      <c r="AR50" s="486">
        <v>30.5</v>
      </c>
      <c r="AS50" s="881">
        <v>20</v>
      </c>
      <c r="AT50" s="972">
        <v>211.8</v>
      </c>
      <c r="AU50" s="993">
        <v>5</v>
      </c>
      <c r="AV50" s="982"/>
      <c r="AW50" s="403"/>
      <c r="AX50" s="403"/>
      <c r="AY50" s="403"/>
      <c r="AZ50" s="403"/>
      <c r="BA50" s="403"/>
      <c r="BB50" s="403"/>
      <c r="BC50" s="403"/>
      <c r="BD50" s="403"/>
      <c r="BE50" s="403"/>
      <c r="BF50" s="403"/>
      <c r="BG50" s="403"/>
      <c r="BH50" s="403"/>
      <c r="BI50" s="403"/>
      <c r="BJ50" s="403"/>
      <c r="BK50" s="403"/>
      <c r="BL50" s="403"/>
      <c r="BM50" s="403"/>
      <c r="BN50" s="403"/>
      <c r="BO50" s="403"/>
      <c r="BP50" s="403"/>
      <c r="BQ50" s="403"/>
      <c r="BR50" s="403"/>
      <c r="BS50" s="403"/>
      <c r="BT50" s="403"/>
      <c r="BU50" s="403"/>
      <c r="BV50" s="403"/>
      <c r="BW50" s="403"/>
      <c r="BX50" s="403"/>
      <c r="BY50" s="403"/>
      <c r="BZ50" s="403"/>
      <c r="CA50" s="403"/>
      <c r="CB50" s="403"/>
      <c r="CC50" s="403"/>
      <c r="CD50" s="403"/>
      <c r="CE50" s="403"/>
    </row>
    <row r="51" spans="1:83" ht="13.5" customHeight="1">
      <c r="A51" s="403"/>
      <c r="B51" s="408"/>
      <c r="C51" s="461" t="s">
        <v>190</v>
      </c>
      <c r="D51" s="482">
        <f t="shared" ca="1" si="1"/>
        <v>0</v>
      </c>
      <c r="E51" s="777">
        <f t="shared" ca="1" si="3"/>
        <v>40.216999999999999</v>
      </c>
      <c r="F51" s="464"/>
      <c r="G51" s="464"/>
      <c r="H51" s="465">
        <f t="shared" ca="1" si="2"/>
        <v>41.379999999999995</v>
      </c>
      <c r="I51" s="715"/>
      <c r="J51" s="614"/>
      <c r="K51" s="490"/>
      <c r="L51" s="491" t="s">
        <v>301</v>
      </c>
      <c r="M51" s="469">
        <v>11</v>
      </c>
      <c r="N51" s="467">
        <v>26</v>
      </c>
      <c r="O51" s="716">
        <v>31</v>
      </c>
      <c r="P51" s="467">
        <v>9</v>
      </c>
      <c r="Q51" s="467">
        <v>18</v>
      </c>
      <c r="R51" s="467">
        <v>10</v>
      </c>
      <c r="S51" s="467">
        <v>18</v>
      </c>
      <c r="T51" s="467">
        <v>1</v>
      </c>
      <c r="U51" s="467">
        <v>29</v>
      </c>
      <c r="V51" s="467">
        <v>1</v>
      </c>
      <c r="W51" s="467">
        <v>20</v>
      </c>
      <c r="X51" s="467">
        <v>0</v>
      </c>
      <c r="Y51" s="467">
        <v>1</v>
      </c>
      <c r="Z51" s="467">
        <v>4</v>
      </c>
      <c r="AA51" s="467">
        <v>4</v>
      </c>
      <c r="AB51" s="467">
        <v>25</v>
      </c>
      <c r="AC51" s="492">
        <v>17</v>
      </c>
      <c r="AD51" s="492">
        <v>16</v>
      </c>
      <c r="AE51" s="492">
        <v>6</v>
      </c>
      <c r="AF51" s="492">
        <v>31</v>
      </c>
      <c r="AG51" s="492">
        <v>12</v>
      </c>
      <c r="AH51" s="492">
        <v>3</v>
      </c>
      <c r="AI51" s="492">
        <v>0</v>
      </c>
      <c r="AJ51" s="492">
        <v>1</v>
      </c>
      <c r="AK51" s="492">
        <v>5</v>
      </c>
      <c r="AL51" s="493">
        <v>8</v>
      </c>
      <c r="AM51" s="492">
        <v>45</v>
      </c>
      <c r="AN51" s="494">
        <v>57</v>
      </c>
      <c r="AO51" s="492">
        <v>48.6</v>
      </c>
      <c r="AP51" s="494">
        <v>36.67</v>
      </c>
      <c r="AQ51" s="493">
        <v>34.5</v>
      </c>
      <c r="AR51" s="493">
        <v>48.1</v>
      </c>
      <c r="AS51" s="877">
        <v>10.8</v>
      </c>
      <c r="AT51" s="968">
        <v>109.5</v>
      </c>
      <c r="AU51" s="989">
        <v>4</v>
      </c>
      <c r="AV51" s="978"/>
      <c r="AW51" s="403"/>
      <c r="AX51" s="403"/>
      <c r="AY51" s="403"/>
      <c r="AZ51" s="403"/>
      <c r="BA51" s="403"/>
      <c r="BB51" s="403"/>
      <c r="BC51" s="403"/>
      <c r="BD51" s="403"/>
      <c r="BE51" s="403"/>
      <c r="BF51" s="403"/>
      <c r="BG51" s="403"/>
      <c r="BH51" s="403"/>
      <c r="BI51" s="403"/>
      <c r="BJ51" s="403"/>
      <c r="BK51" s="403"/>
      <c r="BL51" s="403"/>
      <c r="BM51" s="403"/>
      <c r="BN51" s="403"/>
      <c r="BO51" s="403"/>
      <c r="BP51" s="403"/>
      <c r="BQ51" s="403"/>
      <c r="BR51" s="403"/>
      <c r="BS51" s="403"/>
      <c r="BT51" s="403"/>
      <c r="BU51" s="403"/>
      <c r="BV51" s="403"/>
      <c r="BW51" s="403"/>
      <c r="BX51" s="403"/>
      <c r="BY51" s="403"/>
      <c r="BZ51" s="403"/>
      <c r="CA51" s="403"/>
      <c r="CB51" s="403"/>
      <c r="CC51" s="403"/>
      <c r="CD51" s="403"/>
      <c r="CE51" s="403"/>
    </row>
    <row r="52" spans="1:83" ht="13.5" customHeight="1">
      <c r="A52" s="403"/>
      <c r="B52" s="408" t="s">
        <v>203</v>
      </c>
      <c r="C52" s="461" t="s">
        <v>192</v>
      </c>
      <c r="D52" s="482">
        <f t="shared" ca="1" si="1"/>
        <v>0</v>
      </c>
      <c r="E52" s="777">
        <f t="shared" ca="1" si="3"/>
        <v>49.3</v>
      </c>
      <c r="F52" s="464"/>
      <c r="G52" s="464"/>
      <c r="H52" s="465">
        <f t="shared" ca="1" si="2"/>
        <v>86.2</v>
      </c>
      <c r="I52" s="715"/>
      <c r="J52" s="614"/>
      <c r="K52" s="490" t="s">
        <v>203</v>
      </c>
      <c r="L52" s="491" t="s">
        <v>302</v>
      </c>
      <c r="M52" s="469">
        <v>4</v>
      </c>
      <c r="N52" s="467">
        <v>0</v>
      </c>
      <c r="O52" s="716">
        <v>18</v>
      </c>
      <c r="P52" s="467">
        <v>3</v>
      </c>
      <c r="Q52" s="467">
        <v>25</v>
      </c>
      <c r="R52" s="467">
        <v>10</v>
      </c>
      <c r="S52" s="467">
        <v>13</v>
      </c>
      <c r="T52" s="467">
        <v>6</v>
      </c>
      <c r="U52" s="467">
        <v>19</v>
      </c>
      <c r="V52" s="467">
        <v>2</v>
      </c>
      <c r="W52" s="467">
        <v>7</v>
      </c>
      <c r="X52" s="467">
        <v>5</v>
      </c>
      <c r="Y52" s="467">
        <v>3</v>
      </c>
      <c r="Z52" s="467">
        <v>5</v>
      </c>
      <c r="AA52" s="467">
        <v>7</v>
      </c>
      <c r="AB52" s="467">
        <v>10</v>
      </c>
      <c r="AC52" s="492">
        <v>1</v>
      </c>
      <c r="AD52" s="492">
        <v>0</v>
      </c>
      <c r="AE52" s="492">
        <v>30</v>
      </c>
      <c r="AF52" s="492">
        <v>36</v>
      </c>
      <c r="AG52" s="492">
        <v>0</v>
      </c>
      <c r="AH52" s="492">
        <v>11</v>
      </c>
      <c r="AI52" s="492">
        <v>0</v>
      </c>
      <c r="AJ52" s="492">
        <v>7</v>
      </c>
      <c r="AK52" s="492">
        <v>7</v>
      </c>
      <c r="AL52" s="493">
        <v>2</v>
      </c>
      <c r="AM52" s="492">
        <v>24</v>
      </c>
      <c r="AN52" s="494">
        <v>10</v>
      </c>
      <c r="AO52" s="492">
        <v>11</v>
      </c>
      <c r="AP52" s="494">
        <v>15</v>
      </c>
      <c r="AQ52" s="493">
        <v>59.5</v>
      </c>
      <c r="AR52" s="493">
        <v>279.3</v>
      </c>
      <c r="AS52" s="877">
        <v>9.1999999999999993</v>
      </c>
      <c r="AT52" s="968">
        <v>53</v>
      </c>
      <c r="AU52" s="989">
        <v>30</v>
      </c>
      <c r="AV52" s="978"/>
      <c r="AW52" s="403"/>
      <c r="AX52" s="403"/>
      <c r="AY52" s="403"/>
      <c r="AZ52" s="403"/>
      <c r="BA52" s="403"/>
      <c r="BB52" s="403"/>
      <c r="BC52" s="403"/>
      <c r="BD52" s="403"/>
      <c r="BE52" s="403"/>
      <c r="BF52" s="403"/>
      <c r="BG52" s="403"/>
      <c r="BH52" s="403"/>
      <c r="BI52" s="403"/>
      <c r="BJ52" s="403"/>
      <c r="BK52" s="403"/>
      <c r="BL52" s="403"/>
      <c r="BM52" s="403"/>
      <c r="BN52" s="403"/>
      <c r="BO52" s="403"/>
      <c r="BP52" s="403"/>
      <c r="BQ52" s="403"/>
      <c r="BR52" s="403"/>
      <c r="BS52" s="403"/>
      <c r="BT52" s="403"/>
      <c r="BU52" s="403"/>
      <c r="BV52" s="403"/>
      <c r="BW52" s="403"/>
      <c r="BX52" s="403"/>
      <c r="BY52" s="403"/>
      <c r="BZ52" s="403"/>
      <c r="CA52" s="403"/>
      <c r="CB52" s="403"/>
      <c r="CC52" s="403"/>
      <c r="CD52" s="403"/>
      <c r="CE52" s="403"/>
    </row>
    <row r="53" spans="1:83" ht="13.5" customHeight="1">
      <c r="A53" s="403"/>
      <c r="B53" s="408"/>
      <c r="C53" s="461" t="s">
        <v>193</v>
      </c>
      <c r="D53" s="482">
        <f t="shared" ca="1" si="1"/>
        <v>0</v>
      </c>
      <c r="E53" s="777">
        <f t="shared" ca="1" si="3"/>
        <v>47.66</v>
      </c>
      <c r="F53" s="464"/>
      <c r="G53" s="464"/>
      <c r="H53" s="465">
        <f t="shared" ca="1" si="2"/>
        <v>85.11999999999999</v>
      </c>
      <c r="I53" s="715"/>
      <c r="J53" s="614"/>
      <c r="K53" s="490"/>
      <c r="L53" s="491" t="s">
        <v>303</v>
      </c>
      <c r="M53" s="469">
        <v>0</v>
      </c>
      <c r="N53" s="467">
        <v>0</v>
      </c>
      <c r="O53" s="716">
        <v>10</v>
      </c>
      <c r="P53" s="467">
        <v>2</v>
      </c>
      <c r="Q53" s="467">
        <v>13</v>
      </c>
      <c r="R53" s="467">
        <v>17</v>
      </c>
      <c r="S53" s="467">
        <v>28</v>
      </c>
      <c r="T53" s="467">
        <v>5</v>
      </c>
      <c r="U53" s="467">
        <v>15</v>
      </c>
      <c r="V53" s="467">
        <v>5</v>
      </c>
      <c r="W53" s="467">
        <v>0</v>
      </c>
      <c r="X53" s="467">
        <v>2</v>
      </c>
      <c r="Y53" s="467">
        <v>6</v>
      </c>
      <c r="Z53" s="467">
        <v>18</v>
      </c>
      <c r="AA53" s="467">
        <v>13</v>
      </c>
      <c r="AB53" s="467">
        <v>4</v>
      </c>
      <c r="AC53" s="492">
        <v>3</v>
      </c>
      <c r="AD53" s="492">
        <v>12</v>
      </c>
      <c r="AE53" s="492">
        <v>8</v>
      </c>
      <c r="AF53" s="492">
        <v>56</v>
      </c>
      <c r="AG53" s="492">
        <v>11</v>
      </c>
      <c r="AH53" s="492">
        <v>8</v>
      </c>
      <c r="AI53" s="492">
        <v>42</v>
      </c>
      <c r="AJ53" s="492">
        <v>1</v>
      </c>
      <c r="AK53" s="492">
        <v>37</v>
      </c>
      <c r="AL53" s="493">
        <v>8</v>
      </c>
      <c r="AM53" s="492">
        <v>5</v>
      </c>
      <c r="AN53" s="494">
        <v>20</v>
      </c>
      <c r="AO53" s="492">
        <v>14</v>
      </c>
      <c r="AP53" s="494">
        <v>4</v>
      </c>
      <c r="AQ53" s="493">
        <v>37</v>
      </c>
      <c r="AR53" s="493">
        <v>290.7</v>
      </c>
      <c r="AS53" s="877">
        <v>1.4</v>
      </c>
      <c r="AT53" s="968">
        <v>27.5</v>
      </c>
      <c r="AU53" s="989">
        <v>69</v>
      </c>
      <c r="AV53" s="978"/>
      <c r="AW53" s="403"/>
      <c r="AX53" s="403"/>
      <c r="AY53" s="403"/>
      <c r="AZ53" s="403"/>
      <c r="BA53" s="403"/>
      <c r="BB53" s="403"/>
      <c r="BC53" s="403"/>
      <c r="BD53" s="403"/>
      <c r="BE53" s="403"/>
      <c r="BF53" s="403"/>
      <c r="BG53" s="403"/>
      <c r="BH53" s="403"/>
      <c r="BI53" s="403"/>
      <c r="BJ53" s="403"/>
      <c r="BK53" s="403"/>
      <c r="BL53" s="403"/>
      <c r="BM53" s="403"/>
      <c r="BN53" s="403"/>
      <c r="BO53" s="403"/>
      <c r="BP53" s="403"/>
      <c r="BQ53" s="403"/>
      <c r="BR53" s="403"/>
      <c r="BS53" s="403"/>
      <c r="BT53" s="403"/>
      <c r="BU53" s="403"/>
      <c r="BV53" s="403"/>
      <c r="BW53" s="403"/>
      <c r="BX53" s="403"/>
      <c r="BY53" s="403"/>
      <c r="BZ53" s="403"/>
      <c r="CA53" s="403"/>
      <c r="CB53" s="403"/>
      <c r="CC53" s="403"/>
      <c r="CD53" s="403"/>
      <c r="CE53" s="403"/>
    </row>
    <row r="54" spans="1:83" ht="13.5" customHeight="1">
      <c r="A54" s="403"/>
      <c r="B54" s="408"/>
      <c r="C54" s="461" t="s">
        <v>194</v>
      </c>
      <c r="D54" s="482">
        <f t="shared" ca="1" si="1"/>
        <v>0</v>
      </c>
      <c r="E54" s="777">
        <f t="shared" ca="1" si="3"/>
        <v>22.250999999999998</v>
      </c>
      <c r="F54" s="464"/>
      <c r="G54" s="464"/>
      <c r="H54" s="465">
        <f t="shared" ca="1" si="2"/>
        <v>37.959999999999994</v>
      </c>
      <c r="I54" s="715"/>
      <c r="J54" s="614"/>
      <c r="K54" s="490"/>
      <c r="L54" s="491" t="s">
        <v>304</v>
      </c>
      <c r="M54" s="469">
        <v>2</v>
      </c>
      <c r="N54" s="467">
        <v>0</v>
      </c>
      <c r="O54" s="716">
        <v>7</v>
      </c>
      <c r="P54" s="467">
        <v>2</v>
      </c>
      <c r="Q54" s="467">
        <v>16</v>
      </c>
      <c r="R54" s="467">
        <v>25</v>
      </c>
      <c r="S54" s="467">
        <v>19</v>
      </c>
      <c r="T54" s="467">
        <v>0</v>
      </c>
      <c r="U54" s="467">
        <v>7</v>
      </c>
      <c r="V54" s="467">
        <v>0</v>
      </c>
      <c r="W54" s="467">
        <v>0</v>
      </c>
      <c r="X54" s="467">
        <v>1</v>
      </c>
      <c r="Y54" s="467">
        <v>8</v>
      </c>
      <c r="Z54" s="467">
        <v>15</v>
      </c>
      <c r="AA54" s="467">
        <v>4</v>
      </c>
      <c r="AB54" s="467">
        <v>2</v>
      </c>
      <c r="AC54" s="492">
        <v>3</v>
      </c>
      <c r="AD54" s="492">
        <v>8</v>
      </c>
      <c r="AE54" s="492">
        <v>10</v>
      </c>
      <c r="AF54" s="492">
        <v>64</v>
      </c>
      <c r="AG54" s="492">
        <v>4</v>
      </c>
      <c r="AH54" s="492">
        <v>8</v>
      </c>
      <c r="AI54" s="492">
        <v>43</v>
      </c>
      <c r="AJ54" s="492">
        <v>3</v>
      </c>
      <c r="AK54" s="492">
        <v>6</v>
      </c>
      <c r="AL54" s="493">
        <v>5</v>
      </c>
      <c r="AM54" s="492">
        <v>0</v>
      </c>
      <c r="AN54" s="494">
        <v>18</v>
      </c>
      <c r="AO54" s="492">
        <v>4</v>
      </c>
      <c r="AP54" s="494">
        <v>5.71</v>
      </c>
      <c r="AQ54" s="493">
        <v>11.7</v>
      </c>
      <c r="AR54" s="493">
        <v>141</v>
      </c>
      <c r="AS54" s="877">
        <v>6.6</v>
      </c>
      <c r="AT54" s="968">
        <v>16.5</v>
      </c>
      <c r="AU54" s="989">
        <v>14</v>
      </c>
      <c r="AV54" s="978"/>
      <c r="AW54" s="403"/>
      <c r="AX54" s="403"/>
      <c r="AY54" s="403"/>
      <c r="AZ54" s="403"/>
      <c r="BA54" s="403"/>
      <c r="BB54" s="403"/>
      <c r="BC54" s="403"/>
      <c r="BD54" s="403"/>
      <c r="BE54" s="403"/>
      <c r="BF54" s="403"/>
      <c r="BG54" s="403"/>
      <c r="BH54" s="403"/>
      <c r="BI54" s="403"/>
      <c r="BJ54" s="403"/>
      <c r="BK54" s="403"/>
      <c r="BL54" s="403"/>
      <c r="BM54" s="403"/>
      <c r="BN54" s="403"/>
      <c r="BO54" s="403"/>
      <c r="BP54" s="403"/>
      <c r="BQ54" s="403"/>
      <c r="BR54" s="403"/>
      <c r="BS54" s="403"/>
      <c r="BT54" s="403"/>
      <c r="BU54" s="403"/>
      <c r="BV54" s="403"/>
      <c r="BW54" s="403"/>
      <c r="BX54" s="403"/>
      <c r="BY54" s="403"/>
      <c r="BZ54" s="403"/>
      <c r="CA54" s="403"/>
      <c r="CB54" s="403"/>
      <c r="CC54" s="403"/>
      <c r="CD54" s="403"/>
      <c r="CE54" s="403"/>
    </row>
    <row r="55" spans="1:83" ht="13.5" customHeight="1" thickBot="1">
      <c r="A55" s="403"/>
      <c r="B55" s="408"/>
      <c r="C55" s="448" t="s">
        <v>195</v>
      </c>
      <c r="D55" s="506">
        <f t="shared" ca="1" si="1"/>
        <v>0</v>
      </c>
      <c r="E55" s="778">
        <f t="shared" ca="1" si="3"/>
        <v>30.898000000000003</v>
      </c>
      <c r="F55" s="475"/>
      <c r="G55" s="475"/>
      <c r="H55" s="476">
        <f t="shared" ca="1" si="2"/>
        <v>52.914000000000001</v>
      </c>
      <c r="I55" s="717"/>
      <c r="J55" s="614"/>
      <c r="K55" s="490"/>
      <c r="L55" s="509" t="s">
        <v>305</v>
      </c>
      <c r="M55" s="480">
        <v>0</v>
      </c>
      <c r="N55" s="478">
        <v>0</v>
      </c>
      <c r="O55" s="718">
        <v>8</v>
      </c>
      <c r="P55" s="478">
        <v>0</v>
      </c>
      <c r="Q55" s="478">
        <v>20</v>
      </c>
      <c r="R55" s="478">
        <v>38</v>
      </c>
      <c r="S55" s="478">
        <v>8</v>
      </c>
      <c r="T55" s="478">
        <v>0</v>
      </c>
      <c r="U55" s="478">
        <v>10</v>
      </c>
      <c r="V55" s="478">
        <v>9</v>
      </c>
      <c r="W55" s="478">
        <v>0</v>
      </c>
      <c r="X55" s="478">
        <v>0</v>
      </c>
      <c r="Y55" s="478">
        <v>4</v>
      </c>
      <c r="Z55" s="478">
        <v>14</v>
      </c>
      <c r="AA55" s="478">
        <v>68</v>
      </c>
      <c r="AB55" s="478">
        <v>6</v>
      </c>
      <c r="AC55" s="510">
        <v>3</v>
      </c>
      <c r="AD55" s="510">
        <v>0</v>
      </c>
      <c r="AE55" s="510">
        <v>10</v>
      </c>
      <c r="AF55" s="510">
        <v>96</v>
      </c>
      <c r="AG55" s="510">
        <v>14</v>
      </c>
      <c r="AH55" s="510">
        <v>0</v>
      </c>
      <c r="AI55" s="510">
        <v>73</v>
      </c>
      <c r="AJ55" s="510">
        <v>3</v>
      </c>
      <c r="AK55" s="510">
        <f>2/(6/5)</f>
        <v>1.6666666666666667</v>
      </c>
      <c r="AL55" s="511">
        <v>7</v>
      </c>
      <c r="AM55" s="510">
        <v>0</v>
      </c>
      <c r="AN55" s="512">
        <v>33</v>
      </c>
      <c r="AO55" s="510">
        <v>0</v>
      </c>
      <c r="AP55" s="512">
        <v>4.41</v>
      </c>
      <c r="AQ55" s="511">
        <v>23.4</v>
      </c>
      <c r="AR55" s="511">
        <v>210</v>
      </c>
      <c r="AS55" s="878">
        <v>7</v>
      </c>
      <c r="AT55" s="969">
        <v>15</v>
      </c>
      <c r="AU55" s="990">
        <v>9.17</v>
      </c>
      <c r="AV55" s="979"/>
      <c r="AW55" s="403"/>
      <c r="AX55" s="403"/>
      <c r="AY55" s="403"/>
      <c r="AZ55" s="403"/>
      <c r="BA55" s="403"/>
      <c r="BB55" s="403"/>
      <c r="BC55" s="403"/>
      <c r="BD55" s="403"/>
      <c r="BE55" s="403"/>
      <c r="BF55" s="403"/>
      <c r="BG55" s="403"/>
      <c r="BH55" s="403"/>
      <c r="BI55" s="403"/>
      <c r="BJ55" s="403"/>
      <c r="BK55" s="403"/>
      <c r="BL55" s="403"/>
      <c r="BM55" s="403"/>
      <c r="BN55" s="403"/>
      <c r="BO55" s="403"/>
      <c r="BP55" s="403"/>
      <c r="BQ55" s="403"/>
      <c r="BR55" s="403"/>
      <c r="BS55" s="403"/>
      <c r="BT55" s="403"/>
      <c r="BU55" s="403"/>
      <c r="BV55" s="403"/>
      <c r="BW55" s="403"/>
      <c r="BX55" s="403"/>
      <c r="BY55" s="403"/>
      <c r="BZ55" s="403"/>
      <c r="CA55" s="403"/>
      <c r="CB55" s="403"/>
      <c r="CC55" s="403"/>
      <c r="CD55" s="403"/>
      <c r="CE55" s="403"/>
    </row>
    <row r="56" spans="1:83">
      <c r="B56" s="407"/>
      <c r="C56" s="529" t="s">
        <v>189</v>
      </c>
      <c r="D56" s="482">
        <f t="shared" ca="1" si="1"/>
        <v>0</v>
      </c>
      <c r="E56" s="777">
        <f t="shared" ca="1" si="3"/>
        <v>16.830000000000002</v>
      </c>
      <c r="F56" s="453"/>
      <c r="G56" s="453"/>
      <c r="H56" s="454">
        <f t="shared" ca="1" si="2"/>
        <v>30.660000000000004</v>
      </c>
      <c r="I56" s="715"/>
      <c r="J56" s="614"/>
      <c r="K56" s="434"/>
      <c r="L56" s="484" t="s">
        <v>300</v>
      </c>
      <c r="M56" s="719">
        <v>0</v>
      </c>
      <c r="N56" s="517">
        <v>0</v>
      </c>
      <c r="O56" s="720">
        <v>4</v>
      </c>
      <c r="P56" s="517">
        <v>0</v>
      </c>
      <c r="Q56" s="517">
        <v>12</v>
      </c>
      <c r="R56" s="517">
        <v>17</v>
      </c>
      <c r="S56" s="517">
        <v>7</v>
      </c>
      <c r="T56" s="517">
        <v>0</v>
      </c>
      <c r="U56" s="517">
        <v>5</v>
      </c>
      <c r="V56" s="517">
        <v>1</v>
      </c>
      <c r="W56" s="517"/>
      <c r="X56" s="517">
        <v>15</v>
      </c>
      <c r="Y56" s="517">
        <v>1</v>
      </c>
      <c r="Z56" s="517">
        <v>10</v>
      </c>
      <c r="AA56" s="517">
        <v>14</v>
      </c>
      <c r="AB56" s="517">
        <v>3</v>
      </c>
      <c r="AC56" s="518">
        <v>2</v>
      </c>
      <c r="AD56" s="518">
        <v>0</v>
      </c>
      <c r="AE56" s="518">
        <v>5</v>
      </c>
      <c r="AF56" s="518">
        <v>141</v>
      </c>
      <c r="AG56" s="518">
        <v>9</v>
      </c>
      <c r="AH56" s="518">
        <v>8</v>
      </c>
      <c r="AI56" s="518">
        <v>181</v>
      </c>
      <c r="AJ56" s="518">
        <v>1</v>
      </c>
      <c r="AK56" s="518">
        <v>1</v>
      </c>
      <c r="AL56" s="519">
        <v>1</v>
      </c>
      <c r="AM56" s="518">
        <v>3</v>
      </c>
      <c r="AN56" s="520">
        <v>4</v>
      </c>
      <c r="AO56" s="518">
        <v>3</v>
      </c>
      <c r="AP56" s="728">
        <v>4</v>
      </c>
      <c r="AQ56" s="485">
        <v>13.3</v>
      </c>
      <c r="AR56" s="486">
        <v>117.5</v>
      </c>
      <c r="AS56" s="881">
        <v>4</v>
      </c>
      <c r="AT56" s="972">
        <v>16</v>
      </c>
      <c r="AU56" s="993">
        <v>2.5</v>
      </c>
      <c r="AV56" s="982"/>
      <c r="AW56" s="403"/>
      <c r="AX56" s="403"/>
      <c r="AY56" s="403"/>
      <c r="AZ56" s="403"/>
      <c r="BA56" s="403"/>
      <c r="BB56" s="403"/>
      <c r="BC56" s="403"/>
      <c r="BD56" s="403"/>
      <c r="BE56" s="403"/>
      <c r="BF56" s="403"/>
      <c r="BG56" s="403"/>
      <c r="BH56" s="403"/>
      <c r="BI56" s="403"/>
      <c r="BJ56" s="403"/>
      <c r="BK56" s="403"/>
      <c r="BL56" s="403"/>
      <c r="BM56" s="403"/>
      <c r="BN56" s="403"/>
      <c r="BO56" s="403"/>
      <c r="BP56" s="403"/>
      <c r="BQ56" s="403"/>
      <c r="BR56" s="403"/>
      <c r="BS56" s="403"/>
      <c r="BT56" s="403"/>
      <c r="BU56" s="403"/>
      <c r="BV56" s="403"/>
      <c r="BW56" s="403"/>
      <c r="BX56" s="403"/>
      <c r="BY56" s="403"/>
      <c r="BZ56" s="403"/>
      <c r="CA56" s="403"/>
      <c r="CB56" s="403"/>
      <c r="CC56" s="403"/>
      <c r="CD56" s="403"/>
      <c r="CE56" s="403"/>
    </row>
    <row r="57" spans="1:83">
      <c r="B57" s="408"/>
      <c r="C57" s="461" t="s">
        <v>190</v>
      </c>
      <c r="D57" s="482">
        <f t="shared" ca="1" si="1"/>
        <v>0</v>
      </c>
      <c r="E57" s="777">
        <f t="shared" ca="1" si="3"/>
        <v>24.3</v>
      </c>
      <c r="F57" s="464"/>
      <c r="G57" s="464"/>
      <c r="H57" s="465">
        <f t="shared" ca="1" si="2"/>
        <v>39.1</v>
      </c>
      <c r="I57" s="715"/>
      <c r="J57" s="614"/>
      <c r="K57" s="490"/>
      <c r="L57" s="491" t="s">
        <v>301</v>
      </c>
      <c r="M57" s="469">
        <v>0</v>
      </c>
      <c r="N57" s="467">
        <v>0</v>
      </c>
      <c r="O57" s="716">
        <v>0</v>
      </c>
      <c r="P57" s="467">
        <v>0</v>
      </c>
      <c r="Q57" s="467">
        <v>9</v>
      </c>
      <c r="R57" s="467">
        <v>12</v>
      </c>
      <c r="S57" s="467">
        <v>5</v>
      </c>
      <c r="T57" s="467">
        <v>0</v>
      </c>
      <c r="U57" s="467">
        <v>6</v>
      </c>
      <c r="V57" s="467">
        <v>1</v>
      </c>
      <c r="W57" s="467"/>
      <c r="X57" s="467">
        <v>2</v>
      </c>
      <c r="Y57" s="467">
        <v>2</v>
      </c>
      <c r="Z57" s="467">
        <v>6</v>
      </c>
      <c r="AA57" s="467">
        <v>75</v>
      </c>
      <c r="AB57" s="467">
        <v>2</v>
      </c>
      <c r="AC57" s="492">
        <v>0</v>
      </c>
      <c r="AD57" s="492">
        <v>12</v>
      </c>
      <c r="AE57" s="492">
        <v>0</v>
      </c>
      <c r="AF57" s="492">
        <v>119</v>
      </c>
      <c r="AG57" s="492">
        <v>2</v>
      </c>
      <c r="AH57" s="492">
        <v>3</v>
      </c>
      <c r="AI57" s="492">
        <v>135</v>
      </c>
      <c r="AJ57" s="492">
        <v>2</v>
      </c>
      <c r="AK57" s="492">
        <v>0</v>
      </c>
      <c r="AL57" s="493">
        <v>1</v>
      </c>
      <c r="AM57" s="492">
        <v>3</v>
      </c>
      <c r="AN57" s="494">
        <v>39</v>
      </c>
      <c r="AO57" s="492">
        <v>2</v>
      </c>
      <c r="AP57" s="729">
        <v>2.5</v>
      </c>
      <c r="AQ57" s="492">
        <v>10</v>
      </c>
      <c r="AR57" s="493">
        <v>170.5</v>
      </c>
      <c r="AS57" s="877">
        <v>5</v>
      </c>
      <c r="AT57" s="968">
        <v>2.5</v>
      </c>
      <c r="AU57" s="989">
        <v>7.5</v>
      </c>
      <c r="AV57" s="978"/>
      <c r="AW57" s="403"/>
      <c r="AX57" s="403"/>
      <c r="AY57" s="403"/>
      <c r="AZ57" s="403"/>
      <c r="BA57" s="403"/>
      <c r="BB57" s="403"/>
      <c r="BC57" s="403"/>
      <c r="BD57" s="403"/>
      <c r="BE57" s="403"/>
      <c r="BF57" s="403"/>
      <c r="BG57" s="403"/>
      <c r="BH57" s="403"/>
      <c r="BI57" s="403"/>
      <c r="BJ57" s="403"/>
      <c r="BK57" s="403"/>
      <c r="BL57" s="403"/>
      <c r="BM57" s="403"/>
      <c r="BN57" s="403"/>
      <c r="BO57" s="403"/>
      <c r="BP57" s="403"/>
      <c r="BQ57" s="403"/>
      <c r="BR57" s="403"/>
      <c r="BS57" s="403"/>
      <c r="BT57" s="403"/>
      <c r="BU57" s="403"/>
      <c r="BV57" s="403"/>
      <c r="BW57" s="403"/>
      <c r="BX57" s="403"/>
      <c r="BY57" s="403"/>
      <c r="BZ57" s="403"/>
      <c r="CA57" s="403"/>
      <c r="CB57" s="403"/>
      <c r="CC57" s="403"/>
      <c r="CD57" s="403"/>
      <c r="CE57" s="403"/>
    </row>
    <row r="58" spans="1:83">
      <c r="B58" s="408" t="s">
        <v>204</v>
      </c>
      <c r="C58" s="461" t="s">
        <v>192</v>
      </c>
      <c r="D58" s="482">
        <f t="shared" ca="1" si="1"/>
        <v>0</v>
      </c>
      <c r="E58" s="777">
        <f t="shared" ca="1" si="3"/>
        <v>36.730000000000004</v>
      </c>
      <c r="F58" s="464"/>
      <c r="G58" s="464"/>
      <c r="H58" s="465">
        <f t="shared" ca="1" si="2"/>
        <v>71.626000000000005</v>
      </c>
      <c r="I58" s="715"/>
      <c r="J58" s="614"/>
      <c r="K58" s="490" t="s">
        <v>204</v>
      </c>
      <c r="L58" s="491" t="s">
        <v>302</v>
      </c>
      <c r="M58" s="469">
        <v>0</v>
      </c>
      <c r="N58" s="467">
        <v>0</v>
      </c>
      <c r="O58" s="716">
        <v>0</v>
      </c>
      <c r="P58" s="467">
        <v>0</v>
      </c>
      <c r="Q58" s="467">
        <v>6</v>
      </c>
      <c r="R58" s="467">
        <v>9</v>
      </c>
      <c r="S58" s="467">
        <v>4</v>
      </c>
      <c r="T58" s="467">
        <v>0</v>
      </c>
      <c r="U58" s="467">
        <v>5</v>
      </c>
      <c r="V58" s="467">
        <v>1</v>
      </c>
      <c r="W58" s="467"/>
      <c r="X58" s="467">
        <v>1</v>
      </c>
      <c r="Y58" s="467">
        <v>3</v>
      </c>
      <c r="Z58" s="467">
        <v>4</v>
      </c>
      <c r="AA58" s="467">
        <v>40</v>
      </c>
      <c r="AB58" s="467">
        <v>2</v>
      </c>
      <c r="AC58" s="492">
        <v>0</v>
      </c>
      <c r="AD58" s="492">
        <v>4</v>
      </c>
      <c r="AE58" s="492">
        <v>0</v>
      </c>
      <c r="AF58" s="492">
        <v>31</v>
      </c>
      <c r="AG58" s="492">
        <v>2</v>
      </c>
      <c r="AH58" s="492">
        <v>0</v>
      </c>
      <c r="AI58" s="492">
        <v>166</v>
      </c>
      <c r="AJ58" s="492">
        <v>3</v>
      </c>
      <c r="AK58" s="492">
        <v>2</v>
      </c>
      <c r="AL58" s="493">
        <v>1</v>
      </c>
      <c r="AM58" s="492">
        <v>1</v>
      </c>
      <c r="AN58" s="494">
        <v>6</v>
      </c>
      <c r="AO58" s="492">
        <v>0</v>
      </c>
      <c r="AP58" s="729">
        <v>1.17</v>
      </c>
      <c r="AQ58" s="492">
        <v>10</v>
      </c>
      <c r="AR58" s="493">
        <v>315</v>
      </c>
      <c r="AS58" s="877">
        <v>0</v>
      </c>
      <c r="AT58" s="968">
        <v>2.5</v>
      </c>
      <c r="AU58" s="989">
        <v>30.63</v>
      </c>
      <c r="AV58" s="978"/>
      <c r="AW58" s="403"/>
      <c r="AX58" s="403"/>
      <c r="AY58" s="403"/>
      <c r="AZ58" s="403"/>
      <c r="BA58" s="403"/>
      <c r="BB58" s="403"/>
      <c r="BC58" s="403"/>
      <c r="BD58" s="403"/>
      <c r="BE58" s="403"/>
      <c r="BF58" s="403"/>
      <c r="BG58" s="403"/>
      <c r="BH58" s="403"/>
      <c r="BI58" s="403"/>
      <c r="BJ58" s="403"/>
      <c r="BK58" s="403"/>
      <c r="BL58" s="403"/>
      <c r="BM58" s="403"/>
      <c r="BN58" s="403"/>
      <c r="BO58" s="403"/>
      <c r="BP58" s="403"/>
      <c r="BQ58" s="403"/>
      <c r="BR58" s="403"/>
      <c r="BS58" s="403"/>
      <c r="BT58" s="403"/>
      <c r="BU58" s="403"/>
      <c r="BV58" s="403"/>
      <c r="BW58" s="403"/>
      <c r="BX58" s="403"/>
      <c r="BY58" s="403"/>
      <c r="BZ58" s="403"/>
      <c r="CA58" s="403"/>
      <c r="CB58" s="403"/>
      <c r="CC58" s="403"/>
      <c r="CD58" s="403"/>
      <c r="CE58" s="403"/>
    </row>
    <row r="59" spans="1:83">
      <c r="B59" s="408"/>
      <c r="C59" s="461" t="s">
        <v>193</v>
      </c>
      <c r="D59" s="482">
        <f t="shared" ca="1" si="1"/>
        <v>0</v>
      </c>
      <c r="E59" s="777">
        <f t="shared" ca="1" si="3"/>
        <v>20.87</v>
      </c>
      <c r="F59" s="464"/>
      <c r="G59" s="464"/>
      <c r="H59" s="465">
        <f t="shared" ca="1" si="2"/>
        <v>41.073999999999998</v>
      </c>
      <c r="I59" s="715"/>
      <c r="J59" s="614"/>
      <c r="K59" s="490"/>
      <c r="L59" s="491" t="s">
        <v>303</v>
      </c>
      <c r="M59" s="469">
        <v>0</v>
      </c>
      <c r="N59" s="467">
        <v>0</v>
      </c>
      <c r="O59" s="716">
        <v>0</v>
      </c>
      <c r="P59" s="467">
        <v>0</v>
      </c>
      <c r="Q59" s="467">
        <v>1</v>
      </c>
      <c r="R59" s="467">
        <v>19</v>
      </c>
      <c r="S59" s="467">
        <v>2</v>
      </c>
      <c r="T59" s="467">
        <v>0</v>
      </c>
      <c r="U59" s="467">
        <v>3</v>
      </c>
      <c r="V59" s="467">
        <v>0</v>
      </c>
      <c r="W59" s="467"/>
      <c r="X59" s="467">
        <v>0</v>
      </c>
      <c r="Y59" s="467">
        <v>6</v>
      </c>
      <c r="Z59" s="467">
        <v>1</v>
      </c>
      <c r="AA59" s="467">
        <v>18</v>
      </c>
      <c r="AB59" s="467">
        <v>0</v>
      </c>
      <c r="AC59" s="492">
        <v>1</v>
      </c>
      <c r="AD59" s="492">
        <v>1</v>
      </c>
      <c r="AE59" s="492">
        <v>0</v>
      </c>
      <c r="AF59" s="492">
        <v>20</v>
      </c>
      <c r="AG59" s="492">
        <v>0</v>
      </c>
      <c r="AH59" s="492">
        <v>1</v>
      </c>
      <c r="AI59" s="492">
        <v>6</v>
      </c>
      <c r="AJ59" s="492">
        <v>1</v>
      </c>
      <c r="AK59" s="492">
        <v>0</v>
      </c>
      <c r="AL59" s="493">
        <v>1</v>
      </c>
      <c r="AM59" s="492">
        <v>0</v>
      </c>
      <c r="AN59" s="494">
        <v>2</v>
      </c>
      <c r="AO59" s="492">
        <v>0</v>
      </c>
      <c r="AP59" s="729">
        <v>0.33</v>
      </c>
      <c r="AQ59" s="492">
        <v>9</v>
      </c>
      <c r="AR59" s="493">
        <v>176</v>
      </c>
      <c r="AS59" s="877">
        <v>0</v>
      </c>
      <c r="AT59" s="968">
        <v>2</v>
      </c>
      <c r="AU59" s="989">
        <v>18.37</v>
      </c>
      <c r="AV59" s="978"/>
      <c r="AW59" s="403"/>
      <c r="AX59" s="403"/>
      <c r="AY59" s="403"/>
      <c r="AZ59" s="403"/>
      <c r="BA59" s="403"/>
      <c r="BB59" s="403"/>
      <c r="BC59" s="403"/>
      <c r="BD59" s="403"/>
      <c r="BE59" s="403"/>
      <c r="BF59" s="403"/>
      <c r="BG59" s="403"/>
      <c r="BH59" s="403"/>
      <c r="BI59" s="403"/>
      <c r="BJ59" s="403"/>
      <c r="BK59" s="403"/>
      <c r="BL59" s="403"/>
      <c r="BM59" s="403"/>
      <c r="BN59" s="403"/>
      <c r="BO59" s="403"/>
      <c r="BP59" s="403"/>
      <c r="BQ59" s="403"/>
      <c r="BR59" s="403"/>
      <c r="BS59" s="403"/>
      <c r="BT59" s="403"/>
      <c r="BU59" s="403"/>
      <c r="BV59" s="403"/>
      <c r="BW59" s="403"/>
      <c r="BX59" s="403"/>
      <c r="BY59" s="403"/>
      <c r="BZ59" s="403"/>
      <c r="CA59" s="403"/>
      <c r="CB59" s="403"/>
      <c r="CC59" s="403"/>
      <c r="CD59" s="403"/>
      <c r="CE59" s="403"/>
    </row>
    <row r="60" spans="1:83">
      <c r="B60" s="408"/>
      <c r="C60" s="461" t="s">
        <v>194</v>
      </c>
      <c r="D60" s="482">
        <f t="shared" ca="1" si="1"/>
        <v>0</v>
      </c>
      <c r="E60" s="777">
        <f t="shared" ca="1" si="3"/>
        <v>7.75</v>
      </c>
      <c r="F60" s="464"/>
      <c r="G60" s="464"/>
      <c r="H60" s="465">
        <f t="shared" ca="1" si="2"/>
        <v>14.1</v>
      </c>
      <c r="I60" s="715"/>
      <c r="J60" s="614"/>
      <c r="K60" s="490"/>
      <c r="L60" s="491" t="s">
        <v>304</v>
      </c>
      <c r="M60" s="469">
        <v>0</v>
      </c>
      <c r="N60" s="467">
        <v>0</v>
      </c>
      <c r="O60" s="716">
        <v>0</v>
      </c>
      <c r="P60" s="467">
        <v>0</v>
      </c>
      <c r="Q60" s="467">
        <v>0</v>
      </c>
      <c r="R60" s="467">
        <v>4</v>
      </c>
      <c r="S60" s="467">
        <v>0</v>
      </c>
      <c r="T60" s="467">
        <v>0</v>
      </c>
      <c r="U60" s="467">
        <v>3</v>
      </c>
      <c r="V60" s="467">
        <v>0</v>
      </c>
      <c r="W60" s="467"/>
      <c r="X60" s="467">
        <v>0</v>
      </c>
      <c r="Y60" s="467">
        <v>4</v>
      </c>
      <c r="Z60" s="467">
        <v>0</v>
      </c>
      <c r="AA60" s="467"/>
      <c r="AB60" s="467">
        <v>0</v>
      </c>
      <c r="AC60" s="492">
        <v>0</v>
      </c>
      <c r="AD60" s="492">
        <v>2</v>
      </c>
      <c r="AE60" s="492">
        <v>0</v>
      </c>
      <c r="AF60" s="492">
        <v>5</v>
      </c>
      <c r="AG60" s="492">
        <v>1</v>
      </c>
      <c r="AH60" s="492">
        <v>0</v>
      </c>
      <c r="AI60" s="492">
        <v>16</v>
      </c>
      <c r="AJ60" s="492">
        <v>0</v>
      </c>
      <c r="AK60" s="492">
        <v>0</v>
      </c>
      <c r="AL60" s="493">
        <v>2</v>
      </c>
      <c r="AM60" s="492">
        <v>0</v>
      </c>
      <c r="AN60" s="494">
        <v>5</v>
      </c>
      <c r="AO60" s="492">
        <v>0</v>
      </c>
      <c r="AP60" s="729">
        <v>0</v>
      </c>
      <c r="AQ60" s="492">
        <v>9.1999999999999993</v>
      </c>
      <c r="AR60" s="493">
        <v>45.6</v>
      </c>
      <c r="AS60" s="877">
        <v>0</v>
      </c>
      <c r="AT60" s="968">
        <v>1.7</v>
      </c>
      <c r="AU60" s="989">
        <v>14</v>
      </c>
      <c r="AV60" s="978"/>
      <c r="AW60" s="403"/>
      <c r="AX60" s="403"/>
      <c r="AY60" s="403"/>
      <c r="AZ60" s="403"/>
      <c r="BA60" s="403"/>
      <c r="BB60" s="403"/>
      <c r="BC60" s="403"/>
      <c r="BD60" s="403"/>
      <c r="BE60" s="403"/>
      <c r="BF60" s="403"/>
      <c r="BG60" s="403"/>
      <c r="BH60" s="403"/>
      <c r="BI60" s="403"/>
      <c r="BJ60" s="403"/>
      <c r="BK60" s="403"/>
      <c r="BL60" s="403"/>
      <c r="BM60" s="403"/>
      <c r="BN60" s="403"/>
      <c r="BO60" s="403"/>
      <c r="BP60" s="403"/>
      <c r="BQ60" s="403"/>
      <c r="BR60" s="403"/>
      <c r="BS60" s="403"/>
      <c r="BT60" s="403"/>
      <c r="BU60" s="403"/>
      <c r="BV60" s="403"/>
      <c r="BW60" s="403"/>
      <c r="BX60" s="403"/>
      <c r="BY60" s="403"/>
      <c r="BZ60" s="403"/>
      <c r="CA60" s="403"/>
      <c r="CB60" s="403"/>
      <c r="CC60" s="403"/>
      <c r="CD60" s="403"/>
      <c r="CE60" s="403"/>
    </row>
    <row r="61" spans="1:83" ht="14.5" thickBot="1">
      <c r="B61" s="472"/>
      <c r="C61" s="448" t="s">
        <v>195</v>
      </c>
      <c r="D61" s="506">
        <f t="shared" ca="1" si="1"/>
        <v>0</v>
      </c>
      <c r="E61" s="778">
        <f t="shared" ca="1" si="3"/>
        <v>4.38</v>
      </c>
      <c r="F61" s="475"/>
      <c r="G61" s="475"/>
      <c r="H61" s="476">
        <f t="shared" ca="1" si="2"/>
        <v>6.76</v>
      </c>
      <c r="I61" s="717"/>
      <c r="J61" s="614"/>
      <c r="K61" s="508"/>
      <c r="L61" s="509" t="s">
        <v>305</v>
      </c>
      <c r="M61" s="480">
        <v>0</v>
      </c>
      <c r="N61" s="478">
        <v>0</v>
      </c>
      <c r="O61" s="718">
        <v>0</v>
      </c>
      <c r="P61" s="478">
        <v>0</v>
      </c>
      <c r="Q61" s="478">
        <v>0</v>
      </c>
      <c r="R61" s="478">
        <v>3</v>
      </c>
      <c r="S61" s="478">
        <v>0</v>
      </c>
      <c r="T61" s="478">
        <v>0</v>
      </c>
      <c r="U61" s="478">
        <v>0</v>
      </c>
      <c r="V61" s="478">
        <v>0</v>
      </c>
      <c r="W61" s="478"/>
      <c r="X61" s="478">
        <v>0</v>
      </c>
      <c r="Y61" s="478">
        <v>0</v>
      </c>
      <c r="Z61" s="478">
        <v>0</v>
      </c>
      <c r="AA61" s="478"/>
      <c r="AB61" s="478">
        <v>0</v>
      </c>
      <c r="AC61" s="510">
        <v>0</v>
      </c>
      <c r="AD61" s="510">
        <v>2</v>
      </c>
      <c r="AE61" s="510">
        <v>0</v>
      </c>
      <c r="AF61" s="510">
        <v>4</v>
      </c>
      <c r="AG61" s="510">
        <v>0</v>
      </c>
      <c r="AH61" s="510">
        <v>1</v>
      </c>
      <c r="AI61" s="510">
        <v>0</v>
      </c>
      <c r="AJ61" s="510">
        <v>1</v>
      </c>
      <c r="AK61" s="510">
        <v>0</v>
      </c>
      <c r="AL61" s="511">
        <v>2</v>
      </c>
      <c r="AM61" s="510">
        <v>1</v>
      </c>
      <c r="AN61" s="512">
        <v>2</v>
      </c>
      <c r="AO61" s="510">
        <v>0</v>
      </c>
      <c r="AP61" s="730">
        <v>5</v>
      </c>
      <c r="AQ61" s="510">
        <v>3.4</v>
      </c>
      <c r="AR61" s="511">
        <v>30.4</v>
      </c>
      <c r="AS61" s="878">
        <v>0</v>
      </c>
      <c r="AT61" s="969">
        <v>0</v>
      </c>
      <c r="AU61" s="990">
        <v>0</v>
      </c>
      <c r="AV61" s="979"/>
      <c r="AW61" s="403"/>
      <c r="AX61" s="403"/>
      <c r="AY61" s="403"/>
      <c r="AZ61" s="403"/>
      <c r="BA61" s="403"/>
      <c r="BB61" s="403"/>
      <c r="BC61" s="403"/>
      <c r="BD61" s="403"/>
      <c r="BE61" s="403"/>
      <c r="BF61" s="403"/>
      <c r="BG61" s="403"/>
      <c r="BH61" s="403"/>
      <c r="BI61" s="403"/>
      <c r="BJ61" s="403"/>
      <c r="BK61" s="403"/>
      <c r="BL61" s="403"/>
      <c r="BM61" s="403"/>
      <c r="BN61" s="403"/>
      <c r="BO61" s="403"/>
      <c r="BP61" s="403"/>
      <c r="BQ61" s="403"/>
      <c r="BR61" s="403"/>
      <c r="BS61" s="403"/>
      <c r="BT61" s="403"/>
      <c r="BU61" s="403"/>
      <c r="BV61" s="403"/>
      <c r="BW61" s="403"/>
      <c r="BX61" s="403"/>
      <c r="BY61" s="403"/>
      <c r="BZ61" s="403"/>
      <c r="CA61" s="403"/>
      <c r="CB61" s="403"/>
      <c r="CC61" s="403"/>
      <c r="CD61" s="403"/>
      <c r="CE61" s="403"/>
    </row>
    <row r="63" spans="1:83">
      <c r="M63" s="412">
        <f>SUM(M14:M25)</f>
        <v>803</v>
      </c>
      <c r="N63" s="412">
        <f t="shared" ref="N63:AS63" si="4">SUM(N14:N25)</f>
        <v>1683</v>
      </c>
      <c r="O63" s="412">
        <f t="shared" si="4"/>
        <v>2249</v>
      </c>
      <c r="P63" s="412">
        <f t="shared" si="4"/>
        <v>1987</v>
      </c>
      <c r="Q63" s="412">
        <f t="shared" si="4"/>
        <v>1059</v>
      </c>
      <c r="R63" s="412">
        <f t="shared" si="4"/>
        <v>1020</v>
      </c>
      <c r="S63" s="412">
        <f t="shared" si="4"/>
        <v>2264</v>
      </c>
      <c r="T63" s="412">
        <f t="shared" si="4"/>
        <v>217</v>
      </c>
      <c r="U63" s="412">
        <f t="shared" si="4"/>
        <v>3825</v>
      </c>
      <c r="V63" s="412">
        <f t="shared" si="4"/>
        <v>212</v>
      </c>
      <c r="W63" s="412">
        <f t="shared" si="4"/>
        <v>353</v>
      </c>
      <c r="X63" s="412">
        <f t="shared" si="4"/>
        <v>1022</v>
      </c>
      <c r="Y63" s="412">
        <f t="shared" si="4"/>
        <v>834</v>
      </c>
      <c r="Z63" s="412">
        <f t="shared" si="4"/>
        <v>924</v>
      </c>
      <c r="AA63" s="412">
        <f t="shared" si="4"/>
        <v>326</v>
      </c>
      <c r="AB63" s="412">
        <f t="shared" si="4"/>
        <v>98</v>
      </c>
      <c r="AC63" s="412">
        <f t="shared" si="4"/>
        <v>697</v>
      </c>
      <c r="AD63" s="412">
        <f t="shared" si="4"/>
        <v>230</v>
      </c>
      <c r="AE63" s="412">
        <f t="shared" si="4"/>
        <v>17</v>
      </c>
      <c r="AF63" s="412">
        <f t="shared" si="4"/>
        <v>659</v>
      </c>
      <c r="AG63" s="412">
        <f t="shared" si="4"/>
        <v>561</v>
      </c>
      <c r="AH63" s="412">
        <f t="shared" si="4"/>
        <v>483</v>
      </c>
      <c r="AI63" s="412">
        <f t="shared" si="4"/>
        <v>591</v>
      </c>
      <c r="AJ63" s="412">
        <f t="shared" si="4"/>
        <v>914</v>
      </c>
      <c r="AK63" s="412">
        <f t="shared" si="4"/>
        <v>678.67</v>
      </c>
      <c r="AL63" s="412">
        <f t="shared" si="4"/>
        <v>430.66666666666669</v>
      </c>
      <c r="AM63" s="412">
        <f t="shared" si="4"/>
        <v>1860</v>
      </c>
      <c r="AN63" s="412">
        <f t="shared" si="4"/>
        <v>745</v>
      </c>
      <c r="AO63" s="412">
        <f t="shared" si="4"/>
        <v>3437</v>
      </c>
      <c r="AP63" s="412">
        <f t="shared" si="4"/>
        <v>1306.9000000000001</v>
      </c>
      <c r="AQ63" s="412">
        <f t="shared" si="4"/>
        <v>1702.3440000000001</v>
      </c>
      <c r="AR63" s="412">
        <f t="shared" si="4"/>
        <v>1298.4000000000001</v>
      </c>
      <c r="AS63" s="412">
        <f t="shared" si="4"/>
        <v>2948</v>
      </c>
    </row>
    <row r="64" spans="1:83">
      <c r="M64" s="412">
        <f t="shared" ref="M64:AS64" si="5">SUM(M26:M34)</f>
        <v>353</v>
      </c>
      <c r="N64" s="412">
        <f t="shared" si="5"/>
        <v>1959</v>
      </c>
      <c r="O64" s="412">
        <f t="shared" si="5"/>
        <v>653</v>
      </c>
      <c r="P64" s="412">
        <f t="shared" si="5"/>
        <v>630</v>
      </c>
      <c r="Q64" s="412">
        <f t="shared" si="5"/>
        <v>704</v>
      </c>
      <c r="R64" s="412">
        <f t="shared" si="5"/>
        <v>241</v>
      </c>
      <c r="S64" s="412">
        <f t="shared" si="5"/>
        <v>1323</v>
      </c>
      <c r="T64" s="412">
        <f t="shared" si="5"/>
        <v>128</v>
      </c>
      <c r="U64" s="412">
        <f t="shared" si="5"/>
        <v>498</v>
      </c>
      <c r="V64" s="412">
        <f t="shared" si="5"/>
        <v>94</v>
      </c>
      <c r="W64" s="412">
        <f t="shared" si="5"/>
        <v>359</v>
      </c>
      <c r="X64" s="412">
        <f t="shared" si="5"/>
        <v>346</v>
      </c>
      <c r="Y64" s="412">
        <f t="shared" si="5"/>
        <v>185</v>
      </c>
      <c r="Z64" s="412">
        <f t="shared" si="5"/>
        <v>685</v>
      </c>
      <c r="AA64" s="412">
        <f t="shared" si="5"/>
        <v>662</v>
      </c>
      <c r="AB64" s="412">
        <f t="shared" si="5"/>
        <v>84</v>
      </c>
      <c r="AC64" s="412">
        <f t="shared" si="5"/>
        <v>527</v>
      </c>
      <c r="AD64" s="412">
        <f t="shared" si="5"/>
        <v>78</v>
      </c>
      <c r="AE64" s="412">
        <f t="shared" si="5"/>
        <v>186</v>
      </c>
      <c r="AF64" s="412">
        <f t="shared" si="5"/>
        <v>293</v>
      </c>
      <c r="AG64" s="412">
        <f t="shared" si="5"/>
        <v>565</v>
      </c>
      <c r="AH64" s="412">
        <f t="shared" si="5"/>
        <v>162</v>
      </c>
      <c r="AI64" s="412">
        <f t="shared" si="5"/>
        <v>237</v>
      </c>
      <c r="AJ64" s="412">
        <f t="shared" si="5"/>
        <v>614</v>
      </c>
      <c r="AK64" s="412">
        <f t="shared" si="5"/>
        <v>276</v>
      </c>
      <c r="AL64" s="412">
        <f t="shared" si="5"/>
        <v>70</v>
      </c>
      <c r="AM64" s="412">
        <f t="shared" si="5"/>
        <v>911</v>
      </c>
      <c r="AN64" s="412">
        <f t="shared" si="5"/>
        <v>80</v>
      </c>
      <c r="AO64" s="412">
        <f t="shared" si="5"/>
        <v>805</v>
      </c>
      <c r="AP64" s="412">
        <f t="shared" si="5"/>
        <v>980.63400000000013</v>
      </c>
      <c r="AQ64" s="412">
        <f t="shared" si="5"/>
        <v>184.3</v>
      </c>
      <c r="AR64" s="412">
        <f t="shared" si="5"/>
        <v>617.6</v>
      </c>
      <c r="AS64" s="412">
        <f t="shared" si="5"/>
        <v>2382.1</v>
      </c>
    </row>
    <row r="65" spans="9:46">
      <c r="M65" s="412">
        <f t="shared" ref="M65:AS65" si="6">SUM(M35:M43)</f>
        <v>80.400000000000006</v>
      </c>
      <c r="N65" s="412">
        <f t="shared" si="6"/>
        <v>349</v>
      </c>
      <c r="O65" s="412">
        <f t="shared" si="6"/>
        <v>87</v>
      </c>
      <c r="P65" s="412">
        <f t="shared" si="6"/>
        <v>364</v>
      </c>
      <c r="Q65" s="412">
        <f t="shared" si="6"/>
        <v>87</v>
      </c>
      <c r="R65" s="412">
        <f t="shared" si="6"/>
        <v>65</v>
      </c>
      <c r="S65" s="412">
        <f t="shared" si="6"/>
        <v>149</v>
      </c>
      <c r="T65" s="412">
        <f t="shared" si="6"/>
        <v>74</v>
      </c>
      <c r="U65" s="412">
        <f t="shared" si="6"/>
        <v>56</v>
      </c>
      <c r="V65" s="412">
        <f t="shared" si="6"/>
        <v>8</v>
      </c>
      <c r="W65" s="412">
        <f t="shared" si="6"/>
        <v>155</v>
      </c>
      <c r="X65" s="412">
        <f t="shared" si="6"/>
        <v>55</v>
      </c>
      <c r="Y65" s="412">
        <f t="shared" si="6"/>
        <v>75</v>
      </c>
      <c r="Z65" s="412">
        <f t="shared" si="6"/>
        <v>206</v>
      </c>
      <c r="AA65" s="412">
        <f t="shared" si="6"/>
        <v>131</v>
      </c>
      <c r="AB65" s="412">
        <f t="shared" si="6"/>
        <v>33</v>
      </c>
      <c r="AC65" s="412">
        <f t="shared" si="6"/>
        <v>18</v>
      </c>
      <c r="AD65" s="412">
        <f t="shared" si="6"/>
        <v>91</v>
      </c>
      <c r="AE65" s="412">
        <f t="shared" si="6"/>
        <v>226</v>
      </c>
      <c r="AF65" s="412">
        <f t="shared" si="6"/>
        <v>131</v>
      </c>
      <c r="AG65" s="412">
        <f t="shared" si="6"/>
        <v>232</v>
      </c>
      <c r="AH65" s="412">
        <f t="shared" si="6"/>
        <v>74</v>
      </c>
      <c r="AI65" s="412">
        <f t="shared" si="6"/>
        <v>227</v>
      </c>
      <c r="AJ65" s="412">
        <f t="shared" si="6"/>
        <v>199</v>
      </c>
      <c r="AK65" s="412">
        <f t="shared" si="6"/>
        <v>45.67</v>
      </c>
      <c r="AL65" s="412">
        <f t="shared" si="6"/>
        <v>26</v>
      </c>
      <c r="AM65" s="412">
        <f t="shared" si="6"/>
        <v>234</v>
      </c>
      <c r="AN65" s="412">
        <f t="shared" si="6"/>
        <v>43.833333333333336</v>
      </c>
      <c r="AO65" s="412">
        <f t="shared" si="6"/>
        <v>78.03</v>
      </c>
      <c r="AP65" s="412">
        <f t="shared" si="6"/>
        <v>62.43</v>
      </c>
      <c r="AQ65" s="412">
        <f t="shared" si="6"/>
        <v>57.590000000000011</v>
      </c>
      <c r="AR65" s="412">
        <f t="shared" si="6"/>
        <v>567.5</v>
      </c>
      <c r="AS65" s="412">
        <f t="shared" si="6"/>
        <v>94</v>
      </c>
    </row>
    <row r="66" spans="9:46">
      <c r="M66" s="412">
        <f>SUM(M50:M55)</f>
        <v>35</v>
      </c>
      <c r="N66" s="412">
        <f t="shared" ref="N66:AS66" si="7">SUM(N50:N55)</f>
        <v>69</v>
      </c>
      <c r="O66" s="412">
        <f t="shared" si="7"/>
        <v>159</v>
      </c>
      <c r="P66" s="412">
        <f t="shared" si="7"/>
        <v>37</v>
      </c>
      <c r="Q66" s="412">
        <f t="shared" si="7"/>
        <v>160</v>
      </c>
      <c r="R66" s="412">
        <f t="shared" si="7"/>
        <v>122</v>
      </c>
      <c r="S66" s="412">
        <f t="shared" si="7"/>
        <v>99</v>
      </c>
      <c r="T66" s="412">
        <f t="shared" si="7"/>
        <v>30</v>
      </c>
      <c r="U66" s="412">
        <f t="shared" si="7"/>
        <v>139</v>
      </c>
      <c r="V66" s="412">
        <f t="shared" si="7"/>
        <v>22</v>
      </c>
      <c r="W66" s="412">
        <f t="shared" si="7"/>
        <v>102</v>
      </c>
      <c r="X66" s="412">
        <f t="shared" si="7"/>
        <v>8</v>
      </c>
      <c r="Y66" s="412">
        <f t="shared" si="7"/>
        <v>25</v>
      </c>
      <c r="Z66" s="412">
        <f t="shared" si="7"/>
        <v>66</v>
      </c>
      <c r="AA66" s="412">
        <f t="shared" si="7"/>
        <v>100</v>
      </c>
      <c r="AB66" s="412">
        <f t="shared" si="7"/>
        <v>88</v>
      </c>
      <c r="AC66" s="412">
        <f t="shared" si="7"/>
        <v>45</v>
      </c>
      <c r="AD66" s="412">
        <f t="shared" si="7"/>
        <v>66</v>
      </c>
      <c r="AE66" s="412">
        <f t="shared" si="7"/>
        <v>71</v>
      </c>
      <c r="AF66" s="412">
        <f t="shared" si="7"/>
        <v>304</v>
      </c>
      <c r="AG66" s="412">
        <f t="shared" si="7"/>
        <v>66</v>
      </c>
      <c r="AH66" s="412">
        <f t="shared" si="7"/>
        <v>34</v>
      </c>
      <c r="AI66" s="412">
        <f t="shared" si="7"/>
        <v>158</v>
      </c>
      <c r="AJ66" s="412">
        <f t="shared" si="7"/>
        <v>15</v>
      </c>
      <c r="AK66" s="412">
        <f t="shared" si="7"/>
        <v>102.66666666666667</v>
      </c>
      <c r="AL66" s="412">
        <f t="shared" si="7"/>
        <v>42</v>
      </c>
      <c r="AM66" s="412">
        <f t="shared" si="7"/>
        <v>99</v>
      </c>
      <c r="AN66" s="412">
        <f t="shared" si="7"/>
        <v>169</v>
      </c>
      <c r="AO66" s="412">
        <f t="shared" si="7"/>
        <v>159</v>
      </c>
      <c r="AP66" s="412">
        <f t="shared" si="7"/>
        <v>196.12</v>
      </c>
      <c r="AQ66" s="412">
        <f t="shared" si="7"/>
        <v>177.1</v>
      </c>
      <c r="AR66" s="412">
        <f t="shared" si="7"/>
        <v>999.59999999999991</v>
      </c>
      <c r="AS66" s="412">
        <f t="shared" si="7"/>
        <v>55</v>
      </c>
    </row>
    <row r="67" spans="9:46">
      <c r="M67" s="412">
        <f>SUM(M14:M55)</f>
        <v>1391.4</v>
      </c>
      <c r="N67" s="412">
        <f t="shared" ref="N67:AS67" si="8">SUM(N14:N55)</f>
        <v>4335</v>
      </c>
      <c r="O67" s="412">
        <f t="shared" si="8"/>
        <v>3273</v>
      </c>
      <c r="P67" s="412">
        <f t="shared" si="8"/>
        <v>3363</v>
      </c>
      <c r="Q67" s="412">
        <f t="shared" si="8"/>
        <v>2255</v>
      </c>
      <c r="R67" s="412">
        <f t="shared" si="8"/>
        <v>1654</v>
      </c>
      <c r="S67" s="412">
        <f t="shared" si="8"/>
        <v>4255</v>
      </c>
      <c r="T67" s="412">
        <f t="shared" si="8"/>
        <v>884</v>
      </c>
      <c r="U67" s="412">
        <f t="shared" si="8"/>
        <v>4646</v>
      </c>
      <c r="V67" s="412">
        <f t="shared" si="8"/>
        <v>350</v>
      </c>
      <c r="W67" s="412">
        <f t="shared" si="8"/>
        <v>1600</v>
      </c>
      <c r="X67" s="412">
        <f t="shared" si="8"/>
        <v>1607</v>
      </c>
      <c r="Y67" s="412">
        <f t="shared" si="8"/>
        <v>1350</v>
      </c>
      <c r="Z67" s="412">
        <f t="shared" si="8"/>
        <v>1964</v>
      </c>
      <c r="AA67" s="412">
        <f t="shared" si="8"/>
        <v>1286</v>
      </c>
      <c r="AB67" s="412">
        <f t="shared" si="8"/>
        <v>657</v>
      </c>
      <c r="AC67" s="412">
        <f t="shared" si="8"/>
        <v>1316</v>
      </c>
      <c r="AD67" s="412">
        <f t="shared" si="8"/>
        <v>746</v>
      </c>
      <c r="AE67" s="412">
        <f t="shared" si="8"/>
        <v>672</v>
      </c>
      <c r="AF67" s="412">
        <f t="shared" si="8"/>
        <v>1561</v>
      </c>
      <c r="AG67" s="412">
        <f t="shared" si="8"/>
        <v>1595</v>
      </c>
      <c r="AH67" s="412">
        <f t="shared" si="8"/>
        <v>784</v>
      </c>
      <c r="AI67" s="412">
        <f t="shared" si="8"/>
        <v>1389</v>
      </c>
      <c r="AJ67" s="412">
        <f t="shared" si="8"/>
        <v>1819</v>
      </c>
      <c r="AK67" s="412">
        <f t="shared" si="8"/>
        <v>1184.0066666666667</v>
      </c>
      <c r="AL67" s="412">
        <f>SUM(AL14:AL55)</f>
        <v>758.66666666666674</v>
      </c>
      <c r="AM67" s="412">
        <f t="shared" si="8"/>
        <v>3309</v>
      </c>
      <c r="AN67" s="412">
        <f t="shared" si="8"/>
        <v>1394.8333333333335</v>
      </c>
      <c r="AO67" s="412">
        <f t="shared" si="8"/>
        <v>4648.03</v>
      </c>
      <c r="AP67" s="412">
        <f t="shared" si="8"/>
        <v>3201.0439999999999</v>
      </c>
      <c r="AQ67" s="412">
        <f t="shared" si="8"/>
        <v>2446.2840000000001</v>
      </c>
      <c r="AR67" s="412">
        <f t="shared" si="8"/>
        <v>3858.4</v>
      </c>
      <c r="AS67" s="412">
        <f t="shared" si="8"/>
        <v>5742.0999999999995</v>
      </c>
      <c r="AT67" s="740"/>
    </row>
    <row r="72" spans="9:46">
      <c r="I72" s="426"/>
      <c r="J72" s="426"/>
      <c r="K72" s="426"/>
      <c r="L72" s="426"/>
      <c r="M72" s="426"/>
      <c r="N72" s="426"/>
    </row>
    <row r="73" spans="9:46">
      <c r="I73" s="426"/>
      <c r="J73" s="426"/>
      <c r="O73" s="412" t="str">
        <f ca="1">IF(ISERROR(OFFSET(#REF!,0,0,1,#REF!-90)),"",OFFSET(#REF!,0,0,1,#REF!-90))</f>
        <v/>
      </c>
      <c r="P73" s="412" t="str">
        <f ca="1">IF(ISERROR(OFFSET(#REF!,0,0,1,#REF!-90)),"",OFFSET(#REF!,0,0,1,#REF!-90))</f>
        <v/>
      </c>
      <c r="Q73" s="532"/>
      <c r="R73" s="426"/>
      <c r="S73" s="426"/>
      <c r="T73" s="426"/>
      <c r="U73" s="426"/>
    </row>
    <row r="74" spans="9:46">
      <c r="I74" s="426"/>
      <c r="J74" s="426"/>
      <c r="O74" s="412" t="str">
        <f ca="1">IF(ISERROR(OFFSET(#REF!,0,0,1,#REF!-90)),"",OFFSET(#REF!,0,0,1,#REF!-90))</f>
        <v/>
      </c>
      <c r="P74" s="412" t="str">
        <f ca="1">IF(ISERROR(OFFSET(#REF!,0,0,1,#REF!-90)),"",OFFSET(#REF!,0,0,1,#REF!-90))</f>
        <v/>
      </c>
      <c r="Q74" s="532"/>
      <c r="R74" s="426"/>
      <c r="S74" s="426"/>
      <c r="T74" s="426"/>
      <c r="U74" s="426"/>
    </row>
    <row r="75" spans="9:46">
      <c r="I75" s="426"/>
      <c r="J75" s="426"/>
      <c r="O75" s="412" t="str">
        <f ca="1">IF(ISERROR(OFFSET(#REF!,0,0,1,#REF!-90)),"",OFFSET(#REF!,0,0,1,#REF!-90))</f>
        <v/>
      </c>
      <c r="P75" s="412" t="str">
        <f ca="1">IF(ISERROR(OFFSET(#REF!,0,0,1,#REF!-90)),"",OFFSET(#REF!,0,0,1,#REF!-90))</f>
        <v/>
      </c>
      <c r="Q75" s="532"/>
      <c r="R75" s="426"/>
      <c r="S75" s="426"/>
      <c r="T75" s="426"/>
      <c r="U75" s="426"/>
    </row>
    <row r="76" spans="9:46">
      <c r="I76" s="426"/>
      <c r="J76" s="426"/>
      <c r="O76" s="412" t="str">
        <f ca="1">IF(ISERROR(OFFSET(#REF!,0,0,1,#REF!-90)),"",OFFSET(#REF!,0,0,1,#REF!-90))</f>
        <v/>
      </c>
      <c r="P76" s="412" t="str">
        <f ca="1">IF(ISERROR(OFFSET(#REF!,0,0,1,#REF!-90)),"",OFFSET(#REF!,0,0,1,#REF!-90))</f>
        <v/>
      </c>
      <c r="Q76" s="532"/>
      <c r="R76" s="426"/>
      <c r="S76" s="426"/>
      <c r="T76" s="426"/>
      <c r="U76" s="426"/>
    </row>
    <row r="77" spans="9:46">
      <c r="I77" s="426"/>
      <c r="J77" s="426"/>
      <c r="O77" s="412" t="str">
        <f ca="1">IF(ISERROR(OFFSET(#REF!,0,0,1,#REF!-90)),"",OFFSET(#REF!,0,0,1,#REF!-90))</f>
        <v/>
      </c>
      <c r="P77" s="412" t="str">
        <f ca="1">IF(ISERROR(OFFSET(#REF!,0,0,1,#REF!-90)),"",OFFSET(#REF!,0,0,1,#REF!-90))</f>
        <v/>
      </c>
      <c r="Q77" s="532"/>
      <c r="R77" s="426"/>
      <c r="S77" s="426"/>
      <c r="T77" s="426"/>
      <c r="U77" s="426"/>
    </row>
    <row r="78" spans="9:46">
      <c r="I78" s="426"/>
      <c r="J78" s="426"/>
    </row>
    <row r="79" spans="9:46">
      <c r="I79" s="426"/>
      <c r="J79" s="426"/>
    </row>
    <row r="80" spans="9:46">
      <c r="I80" s="426"/>
      <c r="J80" s="426"/>
    </row>
    <row r="81" spans="9:10">
      <c r="I81" s="426"/>
      <c r="J81" s="426"/>
    </row>
  </sheetData>
  <mergeCells count="5">
    <mergeCell ref="B2:H2"/>
    <mergeCell ref="J2:K2"/>
    <mergeCell ref="F5:H5"/>
    <mergeCell ref="E6:E7"/>
    <mergeCell ref="F7:H7"/>
  </mergeCells>
  <phoneticPr fontId="2"/>
  <dataValidations count="1">
    <dataValidation type="whole" allowBlank="1" showInputMessage="1" showErrorMessage="1" error="年数が間違っています。" prompt="年数を入力して下さい。" sqref="D6" xr:uid="{00000000-0002-0000-1000-000000000000}">
      <formula1>1985</formula1>
      <formula2>J2</formula2>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8111">
    <tabColor theme="3" tint="-0.249977111117893"/>
  </sheetPr>
  <dimension ref="A1:AR80"/>
  <sheetViews>
    <sheetView zoomScale="70" zoomScaleNormal="70" zoomScaleSheetLayoutView="75" workbookViewId="0">
      <pane ySplit="6" topLeftCell="A7" activePane="bottomLeft" state="frozenSplit"/>
      <selection activeCell="AH80" sqref="AH80"/>
      <selection pane="bottomLeft" activeCell="AP13" sqref="AP13"/>
    </sheetView>
  </sheetViews>
  <sheetFormatPr defaultRowHeight="13"/>
  <cols>
    <col min="1" max="1" width="2.6328125" customWidth="1"/>
    <col min="2" max="2" width="5.6328125" customWidth="1"/>
    <col min="3" max="3" width="6.6328125" customWidth="1"/>
    <col min="4" max="4" width="15.6328125" customWidth="1"/>
    <col min="5" max="5" width="0.453125" customWidth="1"/>
    <col min="6" max="6" width="15.6328125" customWidth="1"/>
    <col min="7" max="7" width="0.453125" customWidth="1"/>
    <col min="8" max="8" width="7.6328125" customWidth="1"/>
    <col min="9" max="9" width="2.6328125" customWidth="1"/>
    <col min="10" max="10" width="7.6328125" customWidth="1"/>
    <col min="11" max="11" width="9.453125" hidden="1" customWidth="1"/>
    <col min="12" max="13" width="5.6328125" customWidth="1"/>
    <col min="14" max="14" width="6.6328125" customWidth="1"/>
    <col min="15" max="25" width="6.6328125" hidden="1" customWidth="1"/>
    <col min="26" max="35" width="6.6328125" customWidth="1"/>
    <col min="36" max="43" width="7.08984375" customWidth="1"/>
    <col min="44" max="44" width="5.6328125" customWidth="1"/>
    <col min="45" max="75" width="9.08984375" customWidth="1"/>
  </cols>
  <sheetData>
    <row r="1" spans="1:44" ht="6" customHeight="1">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row>
    <row r="2" spans="1:44" ht="24" customHeight="1">
      <c r="A2" s="6"/>
      <c r="B2" s="2000" t="s">
        <v>74</v>
      </c>
      <c r="C2" s="2000"/>
      <c r="D2" s="2000"/>
      <c r="E2" s="2000"/>
      <c r="F2" s="2000"/>
      <c r="G2" s="2000"/>
      <c r="H2" s="2000"/>
      <c r="I2" s="2000"/>
      <c r="J2" s="2000"/>
      <c r="K2" s="103"/>
      <c r="L2" s="1992">
        <f ca="1">YEAR(TODAY())</f>
        <v>2026</v>
      </c>
      <c r="M2" s="1992"/>
      <c r="N2" s="102"/>
      <c r="P2" s="49"/>
      <c r="T2" s="6"/>
      <c r="U2" s="6"/>
      <c r="V2" s="6"/>
      <c r="W2" s="6"/>
      <c r="X2" s="6"/>
      <c r="Y2" s="6"/>
      <c r="Z2" s="6"/>
      <c r="AA2" s="6"/>
      <c r="AB2" s="6"/>
      <c r="AC2" s="6"/>
      <c r="AD2" s="6"/>
      <c r="AE2" s="6"/>
      <c r="AF2" s="6"/>
      <c r="AG2" s="6"/>
      <c r="AH2" s="6"/>
      <c r="AI2" s="6"/>
      <c r="AJ2" s="6"/>
      <c r="AK2" s="6"/>
      <c r="AL2" s="6"/>
      <c r="AM2" s="6"/>
      <c r="AN2" s="6"/>
      <c r="AO2" s="6"/>
      <c r="AP2" s="6"/>
      <c r="AQ2" s="6"/>
      <c r="AR2" s="6"/>
    </row>
    <row r="3" spans="1:44" ht="6.75" customHeight="1" thickBot="1">
      <c r="A3" s="6"/>
      <c r="B3" s="7"/>
      <c r="C3" s="6"/>
      <c r="D3" s="6"/>
      <c r="E3" s="6"/>
      <c r="F3" s="47"/>
      <c r="G3" s="47"/>
      <c r="H3" s="47"/>
      <c r="I3" s="6"/>
      <c r="J3" s="6"/>
      <c r="K3" s="47"/>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row>
    <row r="4" spans="1:44" ht="21" customHeight="1" thickBot="1">
      <c r="A4" s="6"/>
      <c r="B4" s="9"/>
      <c r="C4" s="50"/>
      <c r="D4" s="55" t="s">
        <v>48</v>
      </c>
      <c r="E4" s="63"/>
      <c r="F4" s="56" t="s">
        <v>46</v>
      </c>
      <c r="G4" s="63"/>
      <c r="H4" s="1995" t="s">
        <v>47</v>
      </c>
      <c r="I4" s="1995"/>
      <c r="J4" s="1996"/>
      <c r="K4" s="61"/>
      <c r="L4" s="5"/>
      <c r="M4" s="5"/>
      <c r="N4" s="5"/>
      <c r="O4" s="8"/>
      <c r="P4" s="8"/>
      <c r="Q4" s="8"/>
      <c r="R4" s="8"/>
      <c r="S4" s="8"/>
      <c r="T4" s="8"/>
      <c r="U4" s="8"/>
      <c r="V4" s="8"/>
      <c r="W4" s="8"/>
      <c r="X4" s="8"/>
      <c r="Y4" s="8"/>
      <c r="Z4" s="8"/>
      <c r="AA4" s="8"/>
      <c r="AB4" s="8"/>
      <c r="AC4" s="8"/>
      <c r="AD4" s="8"/>
      <c r="AE4" s="8"/>
      <c r="AF4" s="8"/>
      <c r="AG4" s="8"/>
      <c r="AH4" s="8"/>
      <c r="AI4" s="8"/>
      <c r="AJ4" s="8"/>
      <c r="AK4" s="8"/>
      <c r="AL4" s="47"/>
      <c r="AM4" s="47"/>
      <c r="AN4" s="47"/>
      <c r="AO4" s="184" t="s">
        <v>131</v>
      </c>
      <c r="AP4" s="47" t="s">
        <v>139</v>
      </c>
      <c r="AQ4" s="47"/>
      <c r="AR4" s="6"/>
    </row>
    <row r="5" spans="1:44" ht="13.5" customHeight="1">
      <c r="A5" s="6"/>
      <c r="B5" s="39"/>
      <c r="C5" s="47"/>
      <c r="D5" s="68">
        <v>2016</v>
      </c>
      <c r="E5" s="66"/>
      <c r="F5" s="1993" t="s">
        <v>140</v>
      </c>
      <c r="G5" s="64"/>
      <c r="H5" s="69">
        <f>D5-5</f>
        <v>2011</v>
      </c>
      <c r="I5" s="40" t="s">
        <v>49</v>
      </c>
      <c r="J5" s="70">
        <f>D5-1</f>
        <v>2015</v>
      </c>
      <c r="K5" s="60">
        <f>$J$5-$H$5+1</f>
        <v>5</v>
      </c>
      <c r="L5" s="11"/>
      <c r="M5" s="37"/>
      <c r="N5" s="42"/>
      <c r="O5" s="110">
        <v>1989</v>
      </c>
      <c r="P5" s="110">
        <v>1990</v>
      </c>
      <c r="Q5" s="110">
        <v>1991</v>
      </c>
      <c r="R5" s="110">
        <v>1992</v>
      </c>
      <c r="S5" s="110">
        <v>1993</v>
      </c>
      <c r="T5" s="110">
        <v>1994</v>
      </c>
      <c r="U5" s="110">
        <v>1995</v>
      </c>
      <c r="V5" s="110">
        <v>1996</v>
      </c>
      <c r="W5" s="110">
        <v>1997</v>
      </c>
      <c r="X5" s="110">
        <v>1998</v>
      </c>
      <c r="Y5" s="110">
        <v>1999</v>
      </c>
      <c r="Z5" s="110">
        <v>2000</v>
      </c>
      <c r="AA5" s="110">
        <v>2001</v>
      </c>
      <c r="AB5" s="110">
        <v>2002</v>
      </c>
      <c r="AC5" s="110">
        <v>2003</v>
      </c>
      <c r="AD5" s="110">
        <v>2004</v>
      </c>
      <c r="AE5" s="110">
        <v>2005</v>
      </c>
      <c r="AF5" s="211">
        <v>2006</v>
      </c>
      <c r="AG5" s="211">
        <v>2007</v>
      </c>
      <c r="AH5" s="211">
        <v>2008</v>
      </c>
      <c r="AI5" s="211">
        <v>2009</v>
      </c>
      <c r="AJ5" s="214">
        <v>2010</v>
      </c>
      <c r="AK5" s="211">
        <v>2011</v>
      </c>
      <c r="AL5" s="215">
        <v>2012</v>
      </c>
      <c r="AM5" s="211">
        <v>2013</v>
      </c>
      <c r="AN5" s="215">
        <v>2014</v>
      </c>
      <c r="AO5" s="214">
        <v>2015</v>
      </c>
      <c r="AP5" s="212">
        <v>2016</v>
      </c>
      <c r="AQ5" s="176"/>
      <c r="AR5" s="6"/>
    </row>
    <row r="6" spans="1:44" ht="13.5" customHeight="1" thickBot="1">
      <c r="A6" s="6"/>
      <c r="B6" s="13"/>
      <c r="C6" s="8"/>
      <c r="D6" s="77" t="str">
        <f t="shared" ref="D6:D15" ca="1" si="0">IF(ISBLANK($D$5),-20,OFFSET($O6,0,$D$5-1989,1,1))</f>
        <v>H28年</v>
      </c>
      <c r="E6" s="67"/>
      <c r="F6" s="1994"/>
      <c r="G6" s="65"/>
      <c r="H6" s="1997">
        <f>IF(OR(ISBLANK($H$5),ISBLANK($J$5)),"　ヶ年平均",$J$5-$H$5+1)</f>
        <v>5</v>
      </c>
      <c r="I6" s="1998"/>
      <c r="J6" s="1999"/>
      <c r="K6" s="62"/>
      <c r="L6" s="85"/>
      <c r="M6" s="38"/>
      <c r="N6" s="43"/>
      <c r="O6" s="15" t="s">
        <v>50</v>
      </c>
      <c r="P6" s="15" t="s">
        <v>51</v>
      </c>
      <c r="Q6" s="15" t="s">
        <v>52</v>
      </c>
      <c r="R6" s="15" t="s">
        <v>53</v>
      </c>
      <c r="S6" s="15" t="s">
        <v>54</v>
      </c>
      <c r="T6" s="15" t="s">
        <v>55</v>
      </c>
      <c r="U6" s="15" t="s">
        <v>56</v>
      </c>
      <c r="V6" s="15" t="s">
        <v>57</v>
      </c>
      <c r="W6" s="15" t="s">
        <v>58</v>
      </c>
      <c r="X6" s="15" t="s">
        <v>59</v>
      </c>
      <c r="Y6" s="15" t="s">
        <v>60</v>
      </c>
      <c r="Z6" s="15" t="s">
        <v>61</v>
      </c>
      <c r="AA6" s="15" t="s">
        <v>62</v>
      </c>
      <c r="AB6" s="15" t="s">
        <v>63</v>
      </c>
      <c r="AC6" s="15" t="s">
        <v>64</v>
      </c>
      <c r="AD6" s="15" t="s">
        <v>65</v>
      </c>
      <c r="AE6" s="15" t="s">
        <v>66</v>
      </c>
      <c r="AF6" s="15" t="s">
        <v>67</v>
      </c>
      <c r="AG6" s="15" t="s">
        <v>68</v>
      </c>
      <c r="AH6" s="15" t="s">
        <v>69</v>
      </c>
      <c r="AI6" s="15" t="s">
        <v>70</v>
      </c>
      <c r="AJ6" s="28" t="s">
        <v>71</v>
      </c>
      <c r="AK6" s="15" t="s">
        <v>116</v>
      </c>
      <c r="AL6" s="155" t="s">
        <v>120</v>
      </c>
      <c r="AM6" s="15" t="s">
        <v>122</v>
      </c>
      <c r="AN6" s="155" t="s">
        <v>126</v>
      </c>
      <c r="AO6" s="28" t="s">
        <v>127</v>
      </c>
      <c r="AP6" s="213" t="s">
        <v>128</v>
      </c>
      <c r="AQ6" s="175"/>
      <c r="AR6" s="6"/>
    </row>
    <row r="7" spans="1:44" ht="13.5" customHeight="1">
      <c r="A7" s="6"/>
      <c r="B7" s="21"/>
      <c r="C7" s="20" t="s">
        <v>2</v>
      </c>
      <c r="D7" s="86">
        <f t="shared" ca="1" si="0"/>
        <v>0</v>
      </c>
      <c r="E7" s="97"/>
      <c r="F7" s="148"/>
      <c r="G7" s="149"/>
      <c r="H7" s="2001"/>
      <c r="I7" s="2002"/>
      <c r="J7" s="2003"/>
      <c r="K7" s="121"/>
      <c r="L7" s="85"/>
      <c r="M7" s="37"/>
      <c r="N7" s="12" t="s">
        <v>2</v>
      </c>
      <c r="O7" s="52"/>
      <c r="P7" s="53"/>
      <c r="Q7" s="53"/>
      <c r="R7" s="53"/>
      <c r="S7" s="53"/>
      <c r="T7" s="53"/>
      <c r="U7" s="53"/>
      <c r="V7" s="53"/>
      <c r="W7" s="53"/>
      <c r="X7" s="53"/>
      <c r="Y7" s="53"/>
      <c r="Z7" s="53"/>
      <c r="AA7" s="53"/>
      <c r="AB7" s="53"/>
      <c r="AC7" s="53"/>
      <c r="AD7" s="53"/>
      <c r="AE7" s="53"/>
      <c r="AF7" s="53"/>
      <c r="AG7" s="53"/>
      <c r="AH7" s="53"/>
      <c r="AI7" s="53"/>
      <c r="AJ7" s="124">
        <v>20</v>
      </c>
      <c r="AK7" s="71">
        <v>0</v>
      </c>
      <c r="AL7" s="159"/>
      <c r="AM7" s="124">
        <v>0</v>
      </c>
      <c r="AN7" s="124">
        <v>0</v>
      </c>
      <c r="AO7" s="124"/>
      <c r="AP7" s="171"/>
      <c r="AQ7" s="153"/>
      <c r="AR7" s="6"/>
    </row>
    <row r="8" spans="1:44" ht="13.5" customHeight="1">
      <c r="A8" s="6"/>
      <c r="B8" s="21"/>
      <c r="C8" s="22" t="s">
        <v>3</v>
      </c>
      <c r="D8" s="86">
        <f t="shared" ca="1" si="0"/>
        <v>0</v>
      </c>
      <c r="E8" s="99"/>
      <c r="F8" s="148"/>
      <c r="G8" s="150"/>
      <c r="H8" s="2004"/>
      <c r="I8" s="2005"/>
      <c r="J8" s="2006"/>
      <c r="K8" s="121"/>
      <c r="L8" s="85"/>
      <c r="M8" s="41"/>
      <c r="N8" s="44" t="s">
        <v>3</v>
      </c>
      <c r="O8" s="25"/>
      <c r="P8" s="122"/>
      <c r="Q8" s="122"/>
      <c r="R8" s="122"/>
      <c r="S8" s="122"/>
      <c r="T8" s="122"/>
      <c r="U8" s="122"/>
      <c r="V8" s="122"/>
      <c r="W8" s="122"/>
      <c r="X8" s="122"/>
      <c r="Y8" s="122"/>
      <c r="Z8" s="122"/>
      <c r="AA8" s="122"/>
      <c r="AB8" s="122"/>
      <c r="AC8" s="122"/>
      <c r="AD8" s="122"/>
      <c r="AE8" s="122"/>
      <c r="AF8" s="122"/>
      <c r="AG8" s="122"/>
      <c r="AH8" s="122"/>
      <c r="AI8" s="122"/>
      <c r="AJ8" s="125">
        <v>0</v>
      </c>
      <c r="AK8" s="72">
        <v>0</v>
      </c>
      <c r="AL8" s="160"/>
      <c r="AM8" s="125">
        <v>0</v>
      </c>
      <c r="AN8" s="125">
        <v>0</v>
      </c>
      <c r="AO8" s="125"/>
      <c r="AP8" s="168"/>
      <c r="AQ8" s="153"/>
      <c r="AR8" s="6"/>
    </row>
    <row r="9" spans="1:44" ht="13.5" customHeight="1">
      <c r="A9" s="6"/>
      <c r="B9" s="21" t="s">
        <v>141</v>
      </c>
      <c r="C9" s="22" t="s">
        <v>5</v>
      </c>
      <c r="D9" s="86">
        <f t="shared" ca="1" si="0"/>
        <v>0</v>
      </c>
      <c r="E9" s="99"/>
      <c r="F9" s="148"/>
      <c r="G9" s="150"/>
      <c r="H9" s="2004"/>
      <c r="I9" s="2005"/>
      <c r="J9" s="2006"/>
      <c r="K9" s="121"/>
      <c r="L9" s="85"/>
      <c r="M9" s="41" t="s">
        <v>114</v>
      </c>
      <c r="N9" s="44" t="s">
        <v>5</v>
      </c>
      <c r="O9" s="25"/>
      <c r="P9" s="122"/>
      <c r="Q9" s="122"/>
      <c r="R9" s="122"/>
      <c r="S9" s="122"/>
      <c r="T9" s="122"/>
      <c r="U9" s="122"/>
      <c r="V9" s="122"/>
      <c r="W9" s="122"/>
      <c r="X9" s="122"/>
      <c r="Y9" s="122"/>
      <c r="Z9" s="122"/>
      <c r="AA9" s="122"/>
      <c r="AB9" s="122"/>
      <c r="AC9" s="122"/>
      <c r="AD9" s="122"/>
      <c r="AE9" s="122"/>
      <c r="AF9" s="122"/>
      <c r="AG9" s="122"/>
      <c r="AH9" s="122"/>
      <c r="AI9" s="122"/>
      <c r="AJ9" s="125">
        <v>5</v>
      </c>
      <c r="AK9" s="72">
        <v>0</v>
      </c>
      <c r="AL9" s="160"/>
      <c r="AM9" s="125">
        <v>0</v>
      </c>
      <c r="AN9" s="125">
        <v>0</v>
      </c>
      <c r="AO9" s="125"/>
      <c r="AP9" s="168"/>
      <c r="AQ9" s="153"/>
      <c r="AR9" s="6"/>
    </row>
    <row r="10" spans="1:44" ht="13.5" customHeight="1">
      <c r="A10" s="6"/>
      <c r="B10" s="21"/>
      <c r="C10" s="22" t="s">
        <v>6</v>
      </c>
      <c r="D10" s="86">
        <f t="shared" ca="1" si="0"/>
        <v>0</v>
      </c>
      <c r="E10" s="99"/>
      <c r="F10" s="148"/>
      <c r="G10" s="150"/>
      <c r="H10" s="2004"/>
      <c r="I10" s="2005"/>
      <c r="J10" s="2006"/>
      <c r="K10" s="121"/>
      <c r="L10" s="85"/>
      <c r="M10" s="41"/>
      <c r="N10" s="44" t="s">
        <v>6</v>
      </c>
      <c r="O10" s="25"/>
      <c r="P10" s="122"/>
      <c r="Q10" s="122"/>
      <c r="R10" s="122"/>
      <c r="S10" s="122"/>
      <c r="T10" s="122"/>
      <c r="U10" s="122"/>
      <c r="V10" s="122"/>
      <c r="W10" s="122"/>
      <c r="X10" s="122"/>
      <c r="Y10" s="122"/>
      <c r="Z10" s="122"/>
      <c r="AA10" s="122"/>
      <c r="AB10" s="122"/>
      <c r="AC10" s="122"/>
      <c r="AD10" s="122"/>
      <c r="AE10" s="122"/>
      <c r="AF10" s="122"/>
      <c r="AG10" s="122"/>
      <c r="AH10" s="122"/>
      <c r="AI10" s="122"/>
      <c r="AJ10" s="126">
        <v>0</v>
      </c>
      <c r="AK10" s="73">
        <v>0</v>
      </c>
      <c r="AL10" s="161"/>
      <c r="AM10" s="126">
        <v>0</v>
      </c>
      <c r="AN10" s="126">
        <v>0</v>
      </c>
      <c r="AO10" s="126">
        <v>180</v>
      </c>
      <c r="AP10" s="168"/>
      <c r="AQ10" s="153"/>
      <c r="AR10" s="6"/>
    </row>
    <row r="11" spans="1:44" ht="13.5" customHeight="1">
      <c r="A11" s="6"/>
      <c r="B11" s="21"/>
      <c r="C11" s="22" t="s">
        <v>7</v>
      </c>
      <c r="D11" s="86">
        <f t="shared" ca="1" si="0"/>
        <v>39</v>
      </c>
      <c r="E11" s="99"/>
      <c r="F11" s="148"/>
      <c r="G11" s="150"/>
      <c r="H11" s="2004"/>
      <c r="I11" s="2005"/>
      <c r="J11" s="2006"/>
      <c r="K11" s="121"/>
      <c r="L11" s="85"/>
      <c r="M11" s="41"/>
      <c r="N11" s="44" t="s">
        <v>7</v>
      </c>
      <c r="O11" s="25"/>
      <c r="P11" s="122"/>
      <c r="Q11" s="122"/>
      <c r="R11" s="122"/>
      <c r="S11" s="122"/>
      <c r="T11" s="122"/>
      <c r="U11" s="122"/>
      <c r="V11" s="122"/>
      <c r="W11" s="122"/>
      <c r="X11" s="122"/>
      <c r="Y11" s="122"/>
      <c r="Z11" s="122"/>
      <c r="AA11" s="122"/>
      <c r="AB11" s="122"/>
      <c r="AC11" s="122"/>
      <c r="AD11" s="122"/>
      <c r="AE11" s="122"/>
      <c r="AF11" s="122"/>
      <c r="AG11" s="122"/>
      <c r="AH11" s="122"/>
      <c r="AI11" s="122"/>
      <c r="AJ11" s="125">
        <v>2</v>
      </c>
      <c r="AK11" s="72">
        <v>0</v>
      </c>
      <c r="AL11" s="160"/>
      <c r="AM11" s="125">
        <v>20</v>
      </c>
      <c r="AN11" s="125">
        <v>0</v>
      </c>
      <c r="AO11" s="125">
        <v>91</v>
      </c>
      <c r="AP11" s="168">
        <v>39</v>
      </c>
      <c r="AQ11" s="153"/>
      <c r="AR11" s="6"/>
    </row>
    <row r="12" spans="1:44" ht="13.5" customHeight="1" thickBot="1">
      <c r="A12" s="6"/>
      <c r="B12" s="27"/>
      <c r="C12" s="28" t="s">
        <v>8</v>
      </c>
      <c r="D12" s="92">
        <f t="shared" ca="1" si="0"/>
        <v>109</v>
      </c>
      <c r="E12" s="100"/>
      <c r="F12" s="151"/>
      <c r="G12" s="152"/>
      <c r="H12" s="1989"/>
      <c r="I12" s="1990"/>
      <c r="J12" s="1991"/>
      <c r="K12" s="121"/>
      <c r="L12" s="85"/>
      <c r="M12" s="4"/>
      <c r="N12" s="16" t="s">
        <v>8</v>
      </c>
      <c r="O12" s="14"/>
      <c r="P12" s="15"/>
      <c r="Q12" s="15"/>
      <c r="R12" s="15"/>
      <c r="S12" s="15"/>
      <c r="T12" s="15"/>
      <c r="U12" s="15"/>
      <c r="V12" s="15"/>
      <c r="W12" s="15"/>
      <c r="X12" s="15"/>
      <c r="Y12" s="15"/>
      <c r="Z12" s="15"/>
      <c r="AA12" s="15"/>
      <c r="AB12" s="15"/>
      <c r="AC12" s="15"/>
      <c r="AD12" s="15"/>
      <c r="AE12" s="15"/>
      <c r="AF12" s="15"/>
      <c r="AG12" s="15"/>
      <c r="AH12" s="15"/>
      <c r="AI12" s="15"/>
      <c r="AJ12" s="127">
        <v>0</v>
      </c>
      <c r="AK12" s="74">
        <v>1</v>
      </c>
      <c r="AL12" s="162"/>
      <c r="AM12" s="127">
        <v>232</v>
      </c>
      <c r="AN12" s="127">
        <v>0</v>
      </c>
      <c r="AO12" s="127">
        <v>150</v>
      </c>
      <c r="AP12" s="169">
        <v>109</v>
      </c>
      <c r="AQ12" s="153"/>
      <c r="AR12" s="6"/>
    </row>
    <row r="13" spans="1:44" ht="13.5" customHeight="1">
      <c r="A13" s="6"/>
      <c r="B13" s="21"/>
      <c r="C13" s="20" t="s">
        <v>2</v>
      </c>
      <c r="D13" s="86">
        <f t="shared" ca="1" si="0"/>
        <v>109</v>
      </c>
      <c r="E13" s="97"/>
      <c r="F13" s="148">
        <f t="shared" ref="F13:F60" ca="1" si="1">AVERAGE(OFFSET($O13,0,$L$2-1990,1,-10))</f>
        <v>109</v>
      </c>
      <c r="G13" s="149"/>
      <c r="H13" s="1980">
        <f t="shared" ref="H13:H60" ca="1" si="2">IF(OR(ISBLANK($H$5),ISBLANK($J$5)),-20,AVERAGE(OFFSET($O13,0,$H$5-1989,1,$J$5-$H$5+1)))</f>
        <v>15.465999999999999</v>
      </c>
      <c r="I13" s="1981"/>
      <c r="J13" s="1982"/>
      <c r="K13" s="138"/>
      <c r="L13" s="81"/>
      <c r="M13" s="37"/>
      <c r="N13" s="12" t="s">
        <v>2</v>
      </c>
      <c r="O13" s="104">
        <v>17</v>
      </c>
      <c r="P13" s="104">
        <v>41</v>
      </c>
      <c r="Q13" s="104">
        <v>0</v>
      </c>
      <c r="R13" s="104">
        <v>72</v>
      </c>
      <c r="S13" s="104">
        <v>60</v>
      </c>
      <c r="T13" s="104">
        <v>0</v>
      </c>
      <c r="U13" s="104">
        <v>0</v>
      </c>
      <c r="V13" s="104">
        <v>0</v>
      </c>
      <c r="W13" s="104">
        <v>12</v>
      </c>
      <c r="X13" s="104">
        <v>0</v>
      </c>
      <c r="Y13" s="104">
        <v>42</v>
      </c>
      <c r="Z13" s="104">
        <v>0</v>
      </c>
      <c r="AA13" s="104">
        <v>6</v>
      </c>
      <c r="AB13" s="104">
        <v>24</v>
      </c>
      <c r="AC13" s="104">
        <v>108</v>
      </c>
      <c r="AD13" s="71">
        <v>0</v>
      </c>
      <c r="AE13" s="71">
        <v>145</v>
      </c>
      <c r="AF13" s="71">
        <v>0</v>
      </c>
      <c r="AG13" s="71">
        <v>0</v>
      </c>
      <c r="AH13" s="71">
        <v>5</v>
      </c>
      <c r="AI13" s="71">
        <v>0</v>
      </c>
      <c r="AJ13" s="124">
        <v>5</v>
      </c>
      <c r="AK13" s="71">
        <v>3</v>
      </c>
      <c r="AL13" s="159">
        <v>0</v>
      </c>
      <c r="AM13" s="124">
        <v>36</v>
      </c>
      <c r="AN13" s="124">
        <v>2.5</v>
      </c>
      <c r="AO13" s="203">
        <v>35.83</v>
      </c>
      <c r="AP13" s="207">
        <v>109</v>
      </c>
      <c r="AQ13" s="153"/>
      <c r="AR13" s="6"/>
    </row>
    <row r="14" spans="1:44" ht="13.5" customHeight="1">
      <c r="A14" s="6"/>
      <c r="B14" s="21"/>
      <c r="C14" s="22" t="s">
        <v>3</v>
      </c>
      <c r="D14" s="86">
        <f t="shared" ca="1" si="0"/>
        <v>165</v>
      </c>
      <c r="E14" s="99"/>
      <c r="F14" s="148">
        <f t="shared" ca="1" si="1"/>
        <v>165</v>
      </c>
      <c r="G14" s="150"/>
      <c r="H14" s="1983">
        <f t="shared" ca="1" si="2"/>
        <v>13.3332</v>
      </c>
      <c r="I14" s="1984"/>
      <c r="J14" s="1985"/>
      <c r="K14" s="98"/>
      <c r="L14" s="91"/>
      <c r="M14" s="41"/>
      <c r="N14" s="44" t="s">
        <v>3</v>
      </c>
      <c r="O14" s="105">
        <v>25</v>
      </c>
      <c r="P14" s="105">
        <v>4</v>
      </c>
      <c r="Q14" s="105">
        <v>92</v>
      </c>
      <c r="R14" s="105">
        <v>48</v>
      </c>
      <c r="S14" s="105">
        <v>0</v>
      </c>
      <c r="T14" s="105">
        <v>50</v>
      </c>
      <c r="U14" s="105">
        <v>9</v>
      </c>
      <c r="V14" s="105">
        <v>35</v>
      </c>
      <c r="W14" s="105">
        <v>38</v>
      </c>
      <c r="X14" s="105">
        <v>0</v>
      </c>
      <c r="Y14" s="105">
        <v>5</v>
      </c>
      <c r="Z14" s="105">
        <v>0</v>
      </c>
      <c r="AA14" s="105">
        <v>147</v>
      </c>
      <c r="AB14" s="105">
        <v>24</v>
      </c>
      <c r="AC14" s="105">
        <v>181</v>
      </c>
      <c r="AD14" s="72">
        <v>86</v>
      </c>
      <c r="AE14" s="72">
        <v>91</v>
      </c>
      <c r="AF14" s="72">
        <v>27</v>
      </c>
      <c r="AG14" s="72">
        <v>12</v>
      </c>
      <c r="AH14" s="72">
        <v>2</v>
      </c>
      <c r="AI14" s="72">
        <v>19</v>
      </c>
      <c r="AJ14" s="125">
        <v>53</v>
      </c>
      <c r="AK14" s="72">
        <v>5</v>
      </c>
      <c r="AL14" s="160">
        <v>0</v>
      </c>
      <c r="AM14" s="125">
        <v>18</v>
      </c>
      <c r="AN14" s="125">
        <v>20.5</v>
      </c>
      <c r="AO14" s="204">
        <v>23.166</v>
      </c>
      <c r="AP14" s="208">
        <v>165</v>
      </c>
      <c r="AQ14" s="153"/>
      <c r="AR14" s="6"/>
    </row>
    <row r="15" spans="1:44" ht="13.5" customHeight="1">
      <c r="A15" s="6"/>
      <c r="B15" s="21" t="s">
        <v>142</v>
      </c>
      <c r="C15" s="22" t="s">
        <v>5</v>
      </c>
      <c r="D15" s="86">
        <f t="shared" ca="1" si="0"/>
        <v>36.200000000000003</v>
      </c>
      <c r="E15" s="99"/>
      <c r="F15" s="148">
        <f t="shared" ca="1" si="1"/>
        <v>36.200000000000003</v>
      </c>
      <c r="G15" s="150"/>
      <c r="H15" s="1983">
        <f t="shared" ca="1" si="2"/>
        <v>50.8</v>
      </c>
      <c r="I15" s="1984"/>
      <c r="J15" s="1985"/>
      <c r="K15" s="98"/>
      <c r="L15" s="91"/>
      <c r="M15" s="41" t="s">
        <v>4</v>
      </c>
      <c r="N15" s="44" t="s">
        <v>5</v>
      </c>
      <c r="O15" s="105">
        <v>22</v>
      </c>
      <c r="P15" s="105">
        <v>4</v>
      </c>
      <c r="Q15" s="105">
        <v>20</v>
      </c>
      <c r="R15" s="105">
        <v>0</v>
      </c>
      <c r="S15" s="105">
        <v>12</v>
      </c>
      <c r="T15" s="105">
        <v>11</v>
      </c>
      <c r="U15" s="105">
        <v>14</v>
      </c>
      <c r="V15" s="105">
        <v>10</v>
      </c>
      <c r="W15" s="105">
        <v>7</v>
      </c>
      <c r="X15" s="105">
        <v>0</v>
      </c>
      <c r="Y15" s="105">
        <v>49</v>
      </c>
      <c r="Z15" s="105">
        <v>0</v>
      </c>
      <c r="AA15" s="105">
        <v>115</v>
      </c>
      <c r="AB15" s="105">
        <v>18</v>
      </c>
      <c r="AC15" s="105">
        <v>110</v>
      </c>
      <c r="AD15" s="72">
        <v>86</v>
      </c>
      <c r="AE15" s="72">
        <v>61</v>
      </c>
      <c r="AF15" s="72">
        <v>25</v>
      </c>
      <c r="AG15" s="72">
        <v>60</v>
      </c>
      <c r="AH15" s="72">
        <v>16</v>
      </c>
      <c r="AI15" s="72">
        <v>44</v>
      </c>
      <c r="AJ15" s="125">
        <v>14</v>
      </c>
      <c r="AK15" s="72">
        <v>3</v>
      </c>
      <c r="AL15" s="160">
        <v>243</v>
      </c>
      <c r="AM15" s="125">
        <v>0</v>
      </c>
      <c r="AN15" s="125">
        <v>5</v>
      </c>
      <c r="AO15" s="204">
        <v>3</v>
      </c>
      <c r="AP15" s="208">
        <v>36.200000000000003</v>
      </c>
      <c r="AQ15" s="153"/>
      <c r="AR15" s="6"/>
    </row>
    <row r="16" spans="1:44" ht="13.5" customHeight="1">
      <c r="A16" s="6"/>
      <c r="B16" s="21"/>
      <c r="C16" s="22" t="s">
        <v>6</v>
      </c>
      <c r="D16" s="86">
        <f t="shared" ref="D16:D29" ca="1" si="3">IF(ISBLANK($D$5),-20,OFFSET($O16,0,$D$5-1989,1,1))</f>
        <v>76</v>
      </c>
      <c r="E16" s="99"/>
      <c r="F16" s="148">
        <f t="shared" ca="1" si="1"/>
        <v>76</v>
      </c>
      <c r="G16" s="150"/>
      <c r="H16" s="1971">
        <f t="shared" ca="1" si="2"/>
        <v>16.8</v>
      </c>
      <c r="I16" s="1972"/>
      <c r="J16" s="1973"/>
      <c r="K16" s="98"/>
      <c r="L16" s="91"/>
      <c r="M16" s="41"/>
      <c r="N16" s="44" t="s">
        <v>6</v>
      </c>
      <c r="O16" s="105">
        <v>47</v>
      </c>
      <c r="P16" s="105">
        <v>0</v>
      </c>
      <c r="Q16" s="105">
        <v>45</v>
      </c>
      <c r="R16" s="105">
        <v>1</v>
      </c>
      <c r="S16" s="105">
        <v>44</v>
      </c>
      <c r="T16" s="105">
        <v>18</v>
      </c>
      <c r="U16" s="105">
        <v>22</v>
      </c>
      <c r="V16" s="105">
        <v>80</v>
      </c>
      <c r="W16" s="105">
        <v>2</v>
      </c>
      <c r="X16" s="105">
        <v>0</v>
      </c>
      <c r="Y16" s="105">
        <v>19</v>
      </c>
      <c r="Z16" s="105">
        <v>16</v>
      </c>
      <c r="AA16" s="105">
        <v>48</v>
      </c>
      <c r="AB16" s="105">
        <v>65</v>
      </c>
      <c r="AC16" s="105">
        <v>119</v>
      </c>
      <c r="AD16" s="73">
        <v>57</v>
      </c>
      <c r="AE16" s="73">
        <v>95</v>
      </c>
      <c r="AF16" s="73">
        <v>53</v>
      </c>
      <c r="AG16" s="73">
        <v>20</v>
      </c>
      <c r="AH16" s="73">
        <v>20</v>
      </c>
      <c r="AI16" s="73">
        <v>31</v>
      </c>
      <c r="AJ16" s="126">
        <v>3</v>
      </c>
      <c r="AK16" s="73">
        <v>19</v>
      </c>
      <c r="AL16" s="161">
        <v>36</v>
      </c>
      <c r="AM16" s="126">
        <v>15</v>
      </c>
      <c r="AN16" s="126">
        <v>11</v>
      </c>
      <c r="AO16" s="205">
        <v>3</v>
      </c>
      <c r="AP16" s="208">
        <v>76</v>
      </c>
      <c r="AQ16" s="153"/>
      <c r="AR16" s="6"/>
    </row>
    <row r="17" spans="1:44" ht="13.5" customHeight="1">
      <c r="A17" s="6"/>
      <c r="B17" s="21"/>
      <c r="C17" s="22" t="s">
        <v>7</v>
      </c>
      <c r="D17" s="86">
        <f t="shared" ca="1" si="3"/>
        <v>100.1</v>
      </c>
      <c r="E17" s="99"/>
      <c r="F17" s="148">
        <f t="shared" ca="1" si="1"/>
        <v>100.1</v>
      </c>
      <c r="G17" s="150"/>
      <c r="H17" s="1971">
        <f t="shared" ca="1" si="2"/>
        <v>6.3427999999999995</v>
      </c>
      <c r="I17" s="1972"/>
      <c r="J17" s="1973"/>
      <c r="K17" s="98"/>
      <c r="L17" s="91"/>
      <c r="M17" s="41"/>
      <c r="N17" s="44" t="s">
        <v>7</v>
      </c>
      <c r="O17" s="105">
        <v>8</v>
      </c>
      <c r="P17" s="105">
        <v>1</v>
      </c>
      <c r="Q17" s="105">
        <v>8</v>
      </c>
      <c r="R17" s="105">
        <v>20</v>
      </c>
      <c r="S17" s="105">
        <v>20</v>
      </c>
      <c r="T17" s="105">
        <v>3</v>
      </c>
      <c r="U17" s="105">
        <v>41</v>
      </c>
      <c r="V17" s="105">
        <v>142</v>
      </c>
      <c r="W17" s="105">
        <v>1</v>
      </c>
      <c r="X17" s="105">
        <v>0</v>
      </c>
      <c r="Y17" s="105">
        <v>11</v>
      </c>
      <c r="Z17" s="105">
        <v>36</v>
      </c>
      <c r="AA17" s="105">
        <v>10</v>
      </c>
      <c r="AB17" s="105">
        <v>162</v>
      </c>
      <c r="AC17" s="105">
        <v>73</v>
      </c>
      <c r="AD17" s="72">
        <v>165</v>
      </c>
      <c r="AE17" s="72">
        <v>25</v>
      </c>
      <c r="AF17" s="72">
        <v>32</v>
      </c>
      <c r="AG17" s="72">
        <v>21</v>
      </c>
      <c r="AH17" s="72">
        <v>53</v>
      </c>
      <c r="AI17" s="72">
        <v>20</v>
      </c>
      <c r="AJ17" s="125">
        <v>8</v>
      </c>
      <c r="AK17" s="72">
        <v>2</v>
      </c>
      <c r="AL17" s="160">
        <v>14</v>
      </c>
      <c r="AM17" s="125">
        <v>0</v>
      </c>
      <c r="AN17" s="125">
        <v>10</v>
      </c>
      <c r="AO17" s="204">
        <v>5.7140000000000004</v>
      </c>
      <c r="AP17" s="208">
        <v>100.1</v>
      </c>
      <c r="AQ17" s="153"/>
      <c r="AR17" s="6"/>
    </row>
    <row r="18" spans="1:44" ht="13.5" customHeight="1" thickBot="1">
      <c r="A18" s="6"/>
      <c r="B18" s="27"/>
      <c r="C18" s="28" t="s">
        <v>8</v>
      </c>
      <c r="D18" s="92">
        <f t="shared" ca="1" si="3"/>
        <v>196.7</v>
      </c>
      <c r="E18" s="100"/>
      <c r="F18" s="151">
        <f t="shared" ca="1" si="1"/>
        <v>196.7</v>
      </c>
      <c r="G18" s="152"/>
      <c r="H18" s="1977">
        <f t="shared" ca="1" si="2"/>
        <v>11.257200000000001</v>
      </c>
      <c r="I18" s="1978"/>
      <c r="J18" s="1979"/>
      <c r="K18" s="101"/>
      <c r="L18" s="91"/>
      <c r="M18" s="4"/>
      <c r="N18" s="16" t="s">
        <v>8</v>
      </c>
      <c r="O18" s="106">
        <v>15</v>
      </c>
      <c r="P18" s="106">
        <v>6</v>
      </c>
      <c r="Q18" s="106">
        <v>38</v>
      </c>
      <c r="R18" s="106">
        <v>44</v>
      </c>
      <c r="S18" s="106">
        <v>24</v>
      </c>
      <c r="T18" s="106">
        <v>22</v>
      </c>
      <c r="U18" s="106">
        <v>57</v>
      </c>
      <c r="V18" s="106">
        <v>54</v>
      </c>
      <c r="W18" s="106">
        <v>14</v>
      </c>
      <c r="X18" s="106">
        <v>30</v>
      </c>
      <c r="Y18" s="106">
        <v>22</v>
      </c>
      <c r="Z18" s="106">
        <v>40</v>
      </c>
      <c r="AA18" s="106">
        <v>45</v>
      </c>
      <c r="AB18" s="106">
        <v>100</v>
      </c>
      <c r="AC18" s="106">
        <v>96</v>
      </c>
      <c r="AD18" s="74">
        <v>237</v>
      </c>
      <c r="AE18" s="74">
        <v>78</v>
      </c>
      <c r="AF18" s="74">
        <v>30</v>
      </c>
      <c r="AG18" s="74">
        <v>70</v>
      </c>
      <c r="AH18" s="74">
        <v>120</v>
      </c>
      <c r="AI18" s="74">
        <v>54</v>
      </c>
      <c r="AJ18" s="127">
        <v>5</v>
      </c>
      <c r="AK18" s="74">
        <v>3</v>
      </c>
      <c r="AL18" s="162">
        <v>6</v>
      </c>
      <c r="AM18" s="127">
        <v>10</v>
      </c>
      <c r="AN18" s="127">
        <v>18</v>
      </c>
      <c r="AO18" s="206">
        <v>19.286000000000001</v>
      </c>
      <c r="AP18" s="209">
        <v>196.7</v>
      </c>
      <c r="AQ18" s="153"/>
      <c r="AR18" s="6"/>
    </row>
    <row r="19" spans="1:44" ht="13.5" customHeight="1">
      <c r="A19" s="6"/>
      <c r="B19" s="17"/>
      <c r="C19" s="20" t="s">
        <v>2</v>
      </c>
      <c r="D19" s="86">
        <f t="shared" ca="1" si="3"/>
        <v>253</v>
      </c>
      <c r="E19" s="99"/>
      <c r="F19" s="148">
        <f t="shared" ca="1" si="1"/>
        <v>253</v>
      </c>
      <c r="G19" s="150"/>
      <c r="H19" s="1974">
        <f t="shared" ca="1" si="2"/>
        <v>17.8</v>
      </c>
      <c r="I19" s="1975"/>
      <c r="J19" s="1976"/>
      <c r="K19" s="98"/>
      <c r="L19" s="91"/>
      <c r="M19" s="37"/>
      <c r="N19" s="45" t="s">
        <v>2</v>
      </c>
      <c r="O19" s="107">
        <v>25</v>
      </c>
      <c r="P19" s="107">
        <v>28</v>
      </c>
      <c r="Q19" s="107">
        <v>21</v>
      </c>
      <c r="R19" s="107">
        <v>16</v>
      </c>
      <c r="S19" s="107">
        <v>20</v>
      </c>
      <c r="T19" s="107">
        <v>37</v>
      </c>
      <c r="U19" s="107">
        <v>68</v>
      </c>
      <c r="V19" s="107">
        <v>6</v>
      </c>
      <c r="W19" s="107">
        <v>23</v>
      </c>
      <c r="X19" s="107">
        <v>678</v>
      </c>
      <c r="Y19" s="107">
        <v>85</v>
      </c>
      <c r="Z19" s="107">
        <v>28</v>
      </c>
      <c r="AA19" s="107">
        <v>111</v>
      </c>
      <c r="AB19" s="107">
        <v>71</v>
      </c>
      <c r="AC19" s="107">
        <v>85</v>
      </c>
      <c r="AD19" s="75">
        <v>425</v>
      </c>
      <c r="AE19" s="75">
        <v>130</v>
      </c>
      <c r="AF19" s="75">
        <v>22</v>
      </c>
      <c r="AG19" s="75">
        <v>504</v>
      </c>
      <c r="AH19" s="75">
        <v>263</v>
      </c>
      <c r="AI19" s="75">
        <v>88</v>
      </c>
      <c r="AJ19" s="128">
        <v>19</v>
      </c>
      <c r="AK19" s="75">
        <v>4</v>
      </c>
      <c r="AL19" s="163">
        <v>9</v>
      </c>
      <c r="AM19" s="128">
        <v>9</v>
      </c>
      <c r="AN19" s="128">
        <v>10</v>
      </c>
      <c r="AO19" s="128">
        <v>57</v>
      </c>
      <c r="AP19" s="207">
        <v>253</v>
      </c>
      <c r="AQ19" s="153"/>
      <c r="AR19" s="6"/>
    </row>
    <row r="20" spans="1:44" ht="13.5" customHeight="1">
      <c r="A20" s="6"/>
      <c r="B20" s="21"/>
      <c r="C20" s="22" t="s">
        <v>3</v>
      </c>
      <c r="D20" s="86">
        <f t="shared" ca="1" si="3"/>
        <v>541</v>
      </c>
      <c r="E20" s="99"/>
      <c r="F20" s="148">
        <f t="shared" ca="1" si="1"/>
        <v>541</v>
      </c>
      <c r="G20" s="150"/>
      <c r="H20" s="1971">
        <f t="shared" ca="1" si="2"/>
        <v>67</v>
      </c>
      <c r="I20" s="1972"/>
      <c r="J20" s="1973"/>
      <c r="K20" s="98"/>
      <c r="L20" s="91"/>
      <c r="M20" s="41"/>
      <c r="N20" s="44" t="s">
        <v>3</v>
      </c>
      <c r="O20" s="105">
        <v>47</v>
      </c>
      <c r="P20" s="105">
        <v>36</v>
      </c>
      <c r="Q20" s="105">
        <v>45</v>
      </c>
      <c r="R20" s="105">
        <v>11</v>
      </c>
      <c r="S20" s="105">
        <v>28</v>
      </c>
      <c r="T20" s="105">
        <v>58</v>
      </c>
      <c r="U20" s="105">
        <v>40</v>
      </c>
      <c r="V20" s="105">
        <v>13</v>
      </c>
      <c r="W20" s="105">
        <v>41</v>
      </c>
      <c r="X20" s="105">
        <v>1436</v>
      </c>
      <c r="Y20" s="105">
        <v>118</v>
      </c>
      <c r="Z20" s="105">
        <v>35</v>
      </c>
      <c r="AA20" s="105">
        <v>341</v>
      </c>
      <c r="AB20" s="105">
        <v>240</v>
      </c>
      <c r="AC20" s="105">
        <v>137</v>
      </c>
      <c r="AD20" s="72">
        <v>296</v>
      </c>
      <c r="AE20" s="72">
        <v>190</v>
      </c>
      <c r="AF20" s="72">
        <v>194</v>
      </c>
      <c r="AG20" s="72">
        <v>444</v>
      </c>
      <c r="AH20" s="72">
        <v>149</v>
      </c>
      <c r="AI20" s="72">
        <v>48</v>
      </c>
      <c r="AJ20" s="125">
        <v>26</v>
      </c>
      <c r="AK20" s="72">
        <v>15</v>
      </c>
      <c r="AL20" s="160">
        <v>24</v>
      </c>
      <c r="AM20" s="125">
        <v>6</v>
      </c>
      <c r="AN20" s="125">
        <v>22</v>
      </c>
      <c r="AO20" s="125">
        <v>268</v>
      </c>
      <c r="AP20" s="208">
        <v>541</v>
      </c>
      <c r="AQ20" s="153"/>
      <c r="AR20" s="6"/>
    </row>
    <row r="21" spans="1:44" ht="13.5" customHeight="1">
      <c r="A21" s="6"/>
      <c r="B21" s="21" t="s">
        <v>143</v>
      </c>
      <c r="C21" s="22" t="s">
        <v>5</v>
      </c>
      <c r="D21" s="86">
        <f t="shared" ca="1" si="3"/>
        <v>1785</v>
      </c>
      <c r="E21" s="99"/>
      <c r="F21" s="148">
        <f t="shared" ca="1" si="1"/>
        <v>1785</v>
      </c>
      <c r="G21" s="150"/>
      <c r="H21" s="1971">
        <f t="shared" ca="1" si="2"/>
        <v>51.6</v>
      </c>
      <c r="I21" s="1972"/>
      <c r="J21" s="1973"/>
      <c r="K21" s="98"/>
      <c r="L21" s="91"/>
      <c r="M21" s="41" t="s">
        <v>72</v>
      </c>
      <c r="N21" s="44" t="s">
        <v>5</v>
      </c>
      <c r="O21" s="105">
        <v>50</v>
      </c>
      <c r="P21" s="105">
        <v>81</v>
      </c>
      <c r="Q21" s="105">
        <v>43</v>
      </c>
      <c r="R21" s="105">
        <v>28</v>
      </c>
      <c r="S21" s="105">
        <v>160</v>
      </c>
      <c r="T21" s="105">
        <v>32</v>
      </c>
      <c r="U21" s="105">
        <v>69</v>
      </c>
      <c r="V21" s="105">
        <v>22</v>
      </c>
      <c r="W21" s="105">
        <v>55</v>
      </c>
      <c r="X21" s="105">
        <v>909</v>
      </c>
      <c r="Y21" s="105">
        <v>222</v>
      </c>
      <c r="Z21" s="105">
        <v>136</v>
      </c>
      <c r="AA21" s="105">
        <v>308</v>
      </c>
      <c r="AB21" s="105">
        <v>379</v>
      </c>
      <c r="AC21" s="105">
        <v>205</v>
      </c>
      <c r="AD21" s="72">
        <v>621</v>
      </c>
      <c r="AE21" s="72">
        <v>280</v>
      </c>
      <c r="AF21" s="72">
        <v>180</v>
      </c>
      <c r="AG21" s="72">
        <v>203</v>
      </c>
      <c r="AH21" s="72">
        <v>1242</v>
      </c>
      <c r="AI21" s="72">
        <v>99</v>
      </c>
      <c r="AJ21" s="125">
        <v>25</v>
      </c>
      <c r="AK21" s="72">
        <v>53</v>
      </c>
      <c r="AL21" s="160">
        <v>6</v>
      </c>
      <c r="AM21" s="125">
        <v>17</v>
      </c>
      <c r="AN21" s="125">
        <v>27</v>
      </c>
      <c r="AO21" s="125">
        <v>155</v>
      </c>
      <c r="AP21" s="208">
        <v>1785</v>
      </c>
      <c r="AQ21" s="153"/>
      <c r="AR21" s="6"/>
    </row>
    <row r="22" spans="1:44" ht="13.5" customHeight="1">
      <c r="A22" s="6"/>
      <c r="B22" s="21"/>
      <c r="C22" s="22" t="s">
        <v>6</v>
      </c>
      <c r="D22" s="86">
        <f t="shared" ca="1" si="3"/>
        <v>1559</v>
      </c>
      <c r="E22" s="99"/>
      <c r="F22" s="148">
        <f t="shared" ca="1" si="1"/>
        <v>1559</v>
      </c>
      <c r="G22" s="150"/>
      <c r="H22" s="1971">
        <f t="shared" ca="1" si="2"/>
        <v>176.2</v>
      </c>
      <c r="I22" s="1972"/>
      <c r="J22" s="1973"/>
      <c r="K22" s="98"/>
      <c r="L22" s="91"/>
      <c r="M22" s="41"/>
      <c r="N22" s="44" t="s">
        <v>6</v>
      </c>
      <c r="O22" s="105">
        <v>387</v>
      </c>
      <c r="P22" s="105">
        <v>284</v>
      </c>
      <c r="Q22" s="105">
        <v>477</v>
      </c>
      <c r="R22" s="105">
        <v>276</v>
      </c>
      <c r="S22" s="105">
        <v>93</v>
      </c>
      <c r="T22" s="105">
        <v>337</v>
      </c>
      <c r="U22" s="105">
        <v>75</v>
      </c>
      <c r="V22" s="105">
        <v>29</v>
      </c>
      <c r="W22" s="105">
        <v>240</v>
      </c>
      <c r="X22" s="105">
        <v>714</v>
      </c>
      <c r="Y22" s="105">
        <v>1848</v>
      </c>
      <c r="Z22" s="105">
        <v>136</v>
      </c>
      <c r="AA22" s="105">
        <v>2655</v>
      </c>
      <c r="AB22" s="105">
        <v>415</v>
      </c>
      <c r="AC22" s="105">
        <v>1257</v>
      </c>
      <c r="AD22" s="72">
        <v>693</v>
      </c>
      <c r="AE22" s="72">
        <v>802</v>
      </c>
      <c r="AF22" s="72">
        <v>116</v>
      </c>
      <c r="AG22" s="72">
        <v>430</v>
      </c>
      <c r="AH22" s="72">
        <v>2490</v>
      </c>
      <c r="AI22" s="72">
        <v>480</v>
      </c>
      <c r="AJ22" s="125">
        <f>25+121</f>
        <v>146</v>
      </c>
      <c r="AK22" s="72">
        <v>73</v>
      </c>
      <c r="AL22" s="160">
        <v>552</v>
      </c>
      <c r="AM22" s="125">
        <v>5</v>
      </c>
      <c r="AN22" s="125">
        <v>126</v>
      </c>
      <c r="AO22" s="125">
        <v>125</v>
      </c>
      <c r="AP22" s="208">
        <v>1559</v>
      </c>
      <c r="AQ22" s="153"/>
      <c r="AR22" s="6"/>
    </row>
    <row r="23" spans="1:44" ht="13.5" customHeight="1">
      <c r="A23" s="6"/>
      <c r="B23" s="21"/>
      <c r="C23" s="22" t="s">
        <v>7</v>
      </c>
      <c r="D23" s="86">
        <f t="shared" ca="1" si="3"/>
        <v>1238</v>
      </c>
      <c r="E23" s="99"/>
      <c r="F23" s="148">
        <f t="shared" ca="1" si="1"/>
        <v>1238</v>
      </c>
      <c r="G23" s="150"/>
      <c r="H23" s="1971">
        <f t="shared" ca="1" si="2"/>
        <v>396.4</v>
      </c>
      <c r="I23" s="1972"/>
      <c r="J23" s="1973"/>
      <c r="K23" s="98"/>
      <c r="L23" s="91"/>
      <c r="M23" s="41"/>
      <c r="N23" s="44" t="s">
        <v>7</v>
      </c>
      <c r="O23" s="105">
        <v>1478</v>
      </c>
      <c r="P23" s="105">
        <v>184</v>
      </c>
      <c r="Q23" s="105">
        <v>1388</v>
      </c>
      <c r="R23" s="105">
        <v>861</v>
      </c>
      <c r="S23" s="105">
        <v>728</v>
      </c>
      <c r="T23" s="105">
        <v>808</v>
      </c>
      <c r="U23" s="105">
        <v>634</v>
      </c>
      <c r="V23" s="105">
        <v>60</v>
      </c>
      <c r="W23" s="105">
        <v>177</v>
      </c>
      <c r="X23" s="105">
        <v>121</v>
      </c>
      <c r="Y23" s="105">
        <v>1211</v>
      </c>
      <c r="Z23" s="105">
        <v>950</v>
      </c>
      <c r="AA23" s="105">
        <v>3444</v>
      </c>
      <c r="AB23" s="105">
        <v>606</v>
      </c>
      <c r="AC23" s="105">
        <v>848</v>
      </c>
      <c r="AD23" s="72">
        <v>465</v>
      </c>
      <c r="AE23" s="72">
        <v>976</v>
      </c>
      <c r="AF23" s="72">
        <v>248</v>
      </c>
      <c r="AG23" s="72">
        <v>678</v>
      </c>
      <c r="AH23" s="72">
        <v>1221</v>
      </c>
      <c r="AI23" s="72">
        <v>539</v>
      </c>
      <c r="AJ23" s="125">
        <v>261</v>
      </c>
      <c r="AK23" s="72">
        <v>384</v>
      </c>
      <c r="AL23" s="160">
        <v>1214</v>
      </c>
      <c r="AM23" s="125">
        <v>73</v>
      </c>
      <c r="AN23" s="125">
        <v>116</v>
      </c>
      <c r="AO23" s="125">
        <v>195</v>
      </c>
      <c r="AP23" s="208">
        <v>1238</v>
      </c>
      <c r="AQ23" s="153"/>
      <c r="AR23" s="6"/>
    </row>
    <row r="24" spans="1:44" ht="13.5" customHeight="1" thickBot="1">
      <c r="A24" s="6"/>
      <c r="B24" s="27"/>
      <c r="C24" s="33" t="s">
        <v>8</v>
      </c>
      <c r="D24" s="92">
        <f t="shared" ca="1" si="3"/>
        <v>747</v>
      </c>
      <c r="E24" s="100"/>
      <c r="F24" s="151">
        <f t="shared" ca="1" si="1"/>
        <v>747</v>
      </c>
      <c r="G24" s="152"/>
      <c r="H24" s="1977">
        <f t="shared" ca="1" si="2"/>
        <v>263.33999999999997</v>
      </c>
      <c r="I24" s="1978"/>
      <c r="J24" s="1979"/>
      <c r="K24" s="101"/>
      <c r="L24" s="91"/>
      <c r="M24" s="4"/>
      <c r="N24" s="46" t="s">
        <v>8</v>
      </c>
      <c r="O24" s="108">
        <v>447</v>
      </c>
      <c r="P24" s="108">
        <v>72</v>
      </c>
      <c r="Q24" s="108">
        <v>410</v>
      </c>
      <c r="R24" s="108">
        <v>340</v>
      </c>
      <c r="S24" s="108">
        <v>710</v>
      </c>
      <c r="T24" s="108">
        <v>687</v>
      </c>
      <c r="U24" s="108">
        <v>200</v>
      </c>
      <c r="V24" s="108">
        <v>2352</v>
      </c>
      <c r="W24" s="108">
        <v>303</v>
      </c>
      <c r="X24" s="108">
        <v>198</v>
      </c>
      <c r="Y24" s="108">
        <v>591</v>
      </c>
      <c r="Z24" s="108">
        <v>648</v>
      </c>
      <c r="AA24" s="109">
        <v>4317</v>
      </c>
      <c r="AB24" s="109">
        <v>496</v>
      </c>
      <c r="AC24" s="109">
        <v>505</v>
      </c>
      <c r="AD24" s="76">
        <v>890</v>
      </c>
      <c r="AE24" s="76">
        <v>280</v>
      </c>
      <c r="AF24" s="76">
        <v>815</v>
      </c>
      <c r="AG24" s="76">
        <v>623</v>
      </c>
      <c r="AH24" s="76">
        <v>665</v>
      </c>
      <c r="AI24" s="76">
        <v>599.16999999999996</v>
      </c>
      <c r="AJ24" s="134">
        <f>169*(5/6)</f>
        <v>140.83333333333334</v>
      </c>
      <c r="AK24" s="135">
        <v>67</v>
      </c>
      <c r="AL24" s="174">
        <v>414</v>
      </c>
      <c r="AM24" s="178">
        <v>260.8</v>
      </c>
      <c r="AN24" s="178">
        <v>227</v>
      </c>
      <c r="AO24" s="178">
        <v>347.9</v>
      </c>
      <c r="AP24" s="210">
        <v>747</v>
      </c>
      <c r="AQ24" s="174"/>
      <c r="AR24" s="6"/>
    </row>
    <row r="25" spans="1:44" ht="13.5" customHeight="1">
      <c r="A25" s="6"/>
      <c r="B25" s="21"/>
      <c r="C25" s="10" t="s">
        <v>2</v>
      </c>
      <c r="D25" s="86">
        <f t="shared" ca="1" si="3"/>
        <v>330</v>
      </c>
      <c r="E25" s="99"/>
      <c r="F25" s="148">
        <f t="shared" ca="1" si="1"/>
        <v>330</v>
      </c>
      <c r="G25" s="150"/>
      <c r="H25" s="1974">
        <f t="shared" ca="1" si="2"/>
        <v>166.2</v>
      </c>
      <c r="I25" s="1975"/>
      <c r="J25" s="1976"/>
      <c r="K25" s="98"/>
      <c r="L25" s="91"/>
      <c r="M25" s="37"/>
      <c r="N25" s="12" t="s">
        <v>2</v>
      </c>
      <c r="O25" s="104">
        <v>282</v>
      </c>
      <c r="P25" s="104">
        <v>132</v>
      </c>
      <c r="Q25" s="104">
        <v>96</v>
      </c>
      <c r="R25" s="104">
        <v>396</v>
      </c>
      <c r="S25" s="104">
        <v>380</v>
      </c>
      <c r="T25" s="104">
        <v>294</v>
      </c>
      <c r="U25" s="104">
        <v>233</v>
      </c>
      <c r="V25" s="104">
        <v>945</v>
      </c>
      <c r="W25" s="104">
        <v>394</v>
      </c>
      <c r="X25" s="104">
        <v>337</v>
      </c>
      <c r="Y25" s="104">
        <v>179</v>
      </c>
      <c r="Z25" s="104">
        <v>818</v>
      </c>
      <c r="AA25" s="104">
        <v>192</v>
      </c>
      <c r="AB25" s="104">
        <v>334</v>
      </c>
      <c r="AC25" s="104">
        <v>155</v>
      </c>
      <c r="AD25" s="71">
        <v>205</v>
      </c>
      <c r="AE25" s="71">
        <v>368</v>
      </c>
      <c r="AF25" s="71">
        <v>193</v>
      </c>
      <c r="AG25" s="71">
        <v>505</v>
      </c>
      <c r="AH25" s="71">
        <v>386</v>
      </c>
      <c r="AI25" s="71">
        <v>229</v>
      </c>
      <c r="AJ25" s="124">
        <v>143</v>
      </c>
      <c r="AK25" s="71">
        <v>98</v>
      </c>
      <c r="AL25" s="159">
        <v>144</v>
      </c>
      <c r="AM25" s="124">
        <v>98</v>
      </c>
      <c r="AN25" s="124">
        <v>291</v>
      </c>
      <c r="AO25" s="124">
        <v>200</v>
      </c>
      <c r="AP25" s="207">
        <v>330</v>
      </c>
      <c r="AQ25" s="153"/>
      <c r="AR25" s="6"/>
    </row>
    <row r="26" spans="1:44" ht="13.5" customHeight="1">
      <c r="A26" s="6"/>
      <c r="B26" s="21"/>
      <c r="C26" s="22" t="s">
        <v>3</v>
      </c>
      <c r="D26" s="86">
        <f t="shared" ca="1" si="3"/>
        <v>1029.7</v>
      </c>
      <c r="E26" s="99"/>
      <c r="F26" s="148">
        <f t="shared" ca="1" si="1"/>
        <v>1029.7</v>
      </c>
      <c r="G26" s="150"/>
      <c r="H26" s="1971">
        <f t="shared" ca="1" si="2"/>
        <v>91.233400000000003</v>
      </c>
      <c r="I26" s="1972"/>
      <c r="J26" s="1973"/>
      <c r="K26" s="98"/>
      <c r="L26" s="91"/>
      <c r="M26" s="41"/>
      <c r="N26" s="44" t="s">
        <v>3</v>
      </c>
      <c r="O26" s="105">
        <v>250</v>
      </c>
      <c r="P26" s="105">
        <v>140</v>
      </c>
      <c r="Q26" s="105">
        <v>129</v>
      </c>
      <c r="R26" s="105">
        <v>228</v>
      </c>
      <c r="S26" s="105">
        <v>440</v>
      </c>
      <c r="T26" s="105">
        <v>643</v>
      </c>
      <c r="U26" s="105">
        <v>366</v>
      </c>
      <c r="V26" s="105">
        <v>249</v>
      </c>
      <c r="W26" s="105">
        <v>165</v>
      </c>
      <c r="X26" s="105">
        <v>830</v>
      </c>
      <c r="Y26" s="105">
        <v>77</v>
      </c>
      <c r="Z26" s="105">
        <v>835</v>
      </c>
      <c r="AA26" s="105">
        <v>206</v>
      </c>
      <c r="AB26" s="105">
        <v>330</v>
      </c>
      <c r="AC26" s="105">
        <v>77</v>
      </c>
      <c r="AD26" s="72">
        <v>937</v>
      </c>
      <c r="AE26" s="72">
        <v>360</v>
      </c>
      <c r="AF26" s="72">
        <v>211</v>
      </c>
      <c r="AG26" s="72">
        <v>384</v>
      </c>
      <c r="AH26" s="72">
        <v>270</v>
      </c>
      <c r="AI26" s="72">
        <v>131</v>
      </c>
      <c r="AJ26" s="125">
        <v>76</v>
      </c>
      <c r="AK26" s="72">
        <v>86</v>
      </c>
      <c r="AL26" s="160">
        <v>33</v>
      </c>
      <c r="AM26" s="125">
        <v>78</v>
      </c>
      <c r="AN26" s="125">
        <v>94.167000000000002</v>
      </c>
      <c r="AO26" s="125">
        <v>165</v>
      </c>
      <c r="AP26" s="208">
        <v>1029.7</v>
      </c>
      <c r="AQ26" s="153"/>
      <c r="AR26" s="6"/>
    </row>
    <row r="27" spans="1:44" ht="13.5" customHeight="1">
      <c r="A27" s="6"/>
      <c r="B27" s="21" t="s">
        <v>144</v>
      </c>
      <c r="C27" s="22" t="s">
        <v>5</v>
      </c>
      <c r="D27" s="86">
        <f t="shared" ca="1" si="3"/>
        <v>2433</v>
      </c>
      <c r="E27" s="99"/>
      <c r="F27" s="148">
        <f t="shared" ca="1" si="1"/>
        <v>2433</v>
      </c>
      <c r="G27" s="150"/>
      <c r="H27" s="1971">
        <f t="shared" ca="1" si="2"/>
        <v>411.4</v>
      </c>
      <c r="I27" s="1972"/>
      <c r="J27" s="1973"/>
      <c r="K27" s="98"/>
      <c r="L27" s="91"/>
      <c r="M27" s="41" t="s">
        <v>9</v>
      </c>
      <c r="N27" s="44" t="s">
        <v>5</v>
      </c>
      <c r="O27" s="105">
        <v>113</v>
      </c>
      <c r="P27" s="105">
        <v>948</v>
      </c>
      <c r="Q27" s="105">
        <v>1028</v>
      </c>
      <c r="R27" s="105">
        <v>121</v>
      </c>
      <c r="S27" s="105">
        <v>380</v>
      </c>
      <c r="T27" s="105">
        <v>841</v>
      </c>
      <c r="U27" s="105">
        <v>330</v>
      </c>
      <c r="V27" s="105">
        <v>945</v>
      </c>
      <c r="W27" s="105">
        <v>270</v>
      </c>
      <c r="X27" s="105">
        <v>1268</v>
      </c>
      <c r="Y27" s="105">
        <v>190</v>
      </c>
      <c r="Z27" s="105">
        <v>422</v>
      </c>
      <c r="AA27" s="105">
        <v>355</v>
      </c>
      <c r="AB27" s="105">
        <v>514</v>
      </c>
      <c r="AC27" s="105">
        <v>169</v>
      </c>
      <c r="AD27" s="72">
        <v>903</v>
      </c>
      <c r="AE27" s="72">
        <v>240</v>
      </c>
      <c r="AF27" s="72">
        <v>129</v>
      </c>
      <c r="AG27" s="72">
        <v>282</v>
      </c>
      <c r="AH27" s="72">
        <v>571</v>
      </c>
      <c r="AI27" s="72">
        <v>192</v>
      </c>
      <c r="AJ27" s="125">
        <v>128</v>
      </c>
      <c r="AK27" s="72">
        <v>92</v>
      </c>
      <c r="AL27" s="160">
        <v>19</v>
      </c>
      <c r="AM27" s="125">
        <v>312</v>
      </c>
      <c r="AN27" s="125">
        <v>873</v>
      </c>
      <c r="AO27" s="125">
        <v>761</v>
      </c>
      <c r="AP27" s="208">
        <v>2433</v>
      </c>
      <c r="AQ27" s="153"/>
      <c r="AR27" s="6"/>
    </row>
    <row r="28" spans="1:44" ht="13.5" customHeight="1">
      <c r="A28" s="6"/>
      <c r="B28" s="21"/>
      <c r="C28" s="22" t="s">
        <v>6</v>
      </c>
      <c r="D28" s="86">
        <f t="shared" ca="1" si="3"/>
        <v>2733.5</v>
      </c>
      <c r="E28" s="99"/>
      <c r="F28" s="148">
        <f t="shared" ca="1" si="1"/>
        <v>2733.5</v>
      </c>
      <c r="G28" s="150"/>
      <c r="H28" s="1971">
        <f t="shared" ca="1" si="2"/>
        <v>728.6</v>
      </c>
      <c r="I28" s="1972"/>
      <c r="J28" s="1973"/>
      <c r="K28" s="98"/>
      <c r="L28" s="91"/>
      <c r="M28" s="41"/>
      <c r="N28" s="44" t="s">
        <v>6</v>
      </c>
      <c r="O28" s="105">
        <v>304</v>
      </c>
      <c r="P28" s="105">
        <v>3768</v>
      </c>
      <c r="Q28" s="105">
        <v>2801</v>
      </c>
      <c r="R28" s="105">
        <v>1720</v>
      </c>
      <c r="S28" s="105">
        <v>224</v>
      </c>
      <c r="T28" s="105">
        <v>1904</v>
      </c>
      <c r="U28" s="105">
        <v>312</v>
      </c>
      <c r="V28" s="105">
        <v>2217</v>
      </c>
      <c r="W28" s="105">
        <v>407</v>
      </c>
      <c r="X28" s="105">
        <v>1523</v>
      </c>
      <c r="Y28" s="105">
        <v>1155</v>
      </c>
      <c r="Z28" s="105">
        <v>2325</v>
      </c>
      <c r="AA28" s="105">
        <v>1118</v>
      </c>
      <c r="AB28" s="105">
        <v>609</v>
      </c>
      <c r="AC28" s="105">
        <v>240</v>
      </c>
      <c r="AD28" s="72">
        <v>1004</v>
      </c>
      <c r="AE28" s="72">
        <v>987</v>
      </c>
      <c r="AF28" s="72">
        <v>362</v>
      </c>
      <c r="AG28" s="72">
        <v>1235</v>
      </c>
      <c r="AH28" s="72">
        <v>835</v>
      </c>
      <c r="AI28" s="72">
        <v>1578</v>
      </c>
      <c r="AJ28" s="125">
        <v>1283</v>
      </c>
      <c r="AK28" s="72">
        <v>696</v>
      </c>
      <c r="AL28" s="160">
        <v>251</v>
      </c>
      <c r="AM28" s="125">
        <v>414</v>
      </c>
      <c r="AN28" s="125">
        <v>1532</v>
      </c>
      <c r="AO28" s="125">
        <v>750</v>
      </c>
      <c r="AP28" s="168">
        <v>2733.5</v>
      </c>
      <c r="AQ28" s="153"/>
      <c r="AR28" s="6"/>
    </row>
    <row r="29" spans="1:44" ht="13.5" customHeight="1">
      <c r="A29" s="6"/>
      <c r="B29" s="21"/>
      <c r="C29" s="22" t="s">
        <v>7</v>
      </c>
      <c r="D29" s="86">
        <f t="shared" ca="1" si="3"/>
        <v>1535.2</v>
      </c>
      <c r="E29" s="99"/>
      <c r="F29" s="148">
        <f t="shared" ca="1" si="1"/>
        <v>1535.2</v>
      </c>
      <c r="G29" s="150"/>
      <c r="H29" s="1971">
        <f t="shared" ca="1" si="2"/>
        <v>509.4</v>
      </c>
      <c r="I29" s="1972"/>
      <c r="J29" s="1973"/>
      <c r="K29" s="98"/>
      <c r="L29" s="91"/>
      <c r="M29" s="41"/>
      <c r="N29" s="44" t="s">
        <v>7</v>
      </c>
      <c r="O29" s="105">
        <v>7892</v>
      </c>
      <c r="P29" s="105">
        <v>2420</v>
      </c>
      <c r="Q29" s="105">
        <v>5996</v>
      </c>
      <c r="R29" s="105">
        <v>1560</v>
      </c>
      <c r="S29" s="105">
        <v>1412</v>
      </c>
      <c r="T29" s="105">
        <v>2402</v>
      </c>
      <c r="U29" s="105">
        <v>1026</v>
      </c>
      <c r="V29" s="105">
        <v>4454</v>
      </c>
      <c r="W29" s="105">
        <v>1822</v>
      </c>
      <c r="X29" s="105">
        <v>845</v>
      </c>
      <c r="Y29" s="105">
        <v>1151</v>
      </c>
      <c r="Z29" s="105">
        <v>4956</v>
      </c>
      <c r="AA29" s="105">
        <v>1027</v>
      </c>
      <c r="AB29" s="105">
        <v>240</v>
      </c>
      <c r="AC29" s="105">
        <v>312</v>
      </c>
      <c r="AD29" s="72">
        <v>1076</v>
      </c>
      <c r="AE29" s="72">
        <v>1293</v>
      </c>
      <c r="AF29" s="72">
        <v>742</v>
      </c>
      <c r="AG29" s="72">
        <v>919</v>
      </c>
      <c r="AH29" s="72">
        <v>626</v>
      </c>
      <c r="AI29" s="72">
        <v>6420</v>
      </c>
      <c r="AJ29" s="125">
        <v>1372</v>
      </c>
      <c r="AK29" s="72">
        <v>119</v>
      </c>
      <c r="AL29" s="160">
        <v>120</v>
      </c>
      <c r="AM29" s="125">
        <v>149</v>
      </c>
      <c r="AN29" s="125">
        <v>1020</v>
      </c>
      <c r="AO29" s="125">
        <v>1139</v>
      </c>
      <c r="AP29" s="168">
        <v>1535.2</v>
      </c>
      <c r="AQ29" s="153"/>
      <c r="AR29" s="6"/>
    </row>
    <row r="30" spans="1:44" ht="13.5" customHeight="1" thickBot="1">
      <c r="A30" s="6"/>
      <c r="B30" s="21"/>
      <c r="C30" s="28" t="s">
        <v>8</v>
      </c>
      <c r="D30" s="92">
        <f t="shared" ref="D30:D60" ca="1" si="4">IF(ISBLANK($D$5),-20,OFFSET($O30,0,$D$5-1989,1,1))</f>
        <v>1365.3</v>
      </c>
      <c r="E30" s="100"/>
      <c r="F30" s="151">
        <f t="shared" ca="1" si="1"/>
        <v>1365.3</v>
      </c>
      <c r="G30" s="152"/>
      <c r="H30" s="1977">
        <f t="shared" ca="1" si="2"/>
        <v>351.4</v>
      </c>
      <c r="I30" s="1978"/>
      <c r="J30" s="1979"/>
      <c r="K30" s="101"/>
      <c r="L30" s="91"/>
      <c r="M30" s="4"/>
      <c r="N30" s="16" t="s">
        <v>8</v>
      </c>
      <c r="O30" s="106">
        <v>1164</v>
      </c>
      <c r="P30" s="106">
        <v>1568</v>
      </c>
      <c r="Q30" s="106">
        <v>3843</v>
      </c>
      <c r="R30" s="106">
        <v>1720</v>
      </c>
      <c r="S30" s="106">
        <v>2100</v>
      </c>
      <c r="T30" s="106">
        <v>5056</v>
      </c>
      <c r="U30" s="106">
        <v>3264</v>
      </c>
      <c r="V30" s="106">
        <v>3511</v>
      </c>
      <c r="W30" s="106">
        <v>952</v>
      </c>
      <c r="X30" s="106">
        <v>1688</v>
      </c>
      <c r="Y30" s="106">
        <v>1832</v>
      </c>
      <c r="Z30" s="106">
        <v>3785</v>
      </c>
      <c r="AA30" s="106">
        <v>969</v>
      </c>
      <c r="AB30" s="106">
        <v>130</v>
      </c>
      <c r="AC30" s="106">
        <v>620</v>
      </c>
      <c r="AD30" s="74">
        <v>1409</v>
      </c>
      <c r="AE30" s="74">
        <v>1165</v>
      </c>
      <c r="AF30" s="74">
        <v>1352</v>
      </c>
      <c r="AG30" s="74">
        <v>1845</v>
      </c>
      <c r="AH30" s="74">
        <v>904</v>
      </c>
      <c r="AI30" s="74">
        <v>1783</v>
      </c>
      <c r="AJ30" s="127">
        <v>1323</v>
      </c>
      <c r="AK30" s="74">
        <v>73</v>
      </c>
      <c r="AL30" s="162">
        <v>125</v>
      </c>
      <c r="AM30" s="127">
        <v>129</v>
      </c>
      <c r="AN30" s="127">
        <v>730</v>
      </c>
      <c r="AO30" s="127">
        <v>700</v>
      </c>
      <c r="AP30" s="169">
        <v>1365.3</v>
      </c>
      <c r="AQ30" s="153"/>
      <c r="AR30" s="6"/>
    </row>
    <row r="31" spans="1:44" ht="13.5" customHeight="1">
      <c r="A31" s="6"/>
      <c r="B31" s="17"/>
      <c r="C31" s="10" t="s">
        <v>2</v>
      </c>
      <c r="D31" s="86">
        <f t="shared" ca="1" si="4"/>
        <v>666</v>
      </c>
      <c r="E31" s="99"/>
      <c r="F31" s="148">
        <f t="shared" ca="1" si="1"/>
        <v>666</v>
      </c>
      <c r="G31" s="150"/>
      <c r="H31" s="1974">
        <f t="shared" ca="1" si="2"/>
        <v>486.26660000000004</v>
      </c>
      <c r="I31" s="1975"/>
      <c r="J31" s="1976"/>
      <c r="K31" s="98"/>
      <c r="L31" s="91"/>
      <c r="M31" s="37"/>
      <c r="N31" s="12" t="s">
        <v>2</v>
      </c>
      <c r="O31" s="107">
        <v>3108</v>
      </c>
      <c r="P31" s="107">
        <v>716</v>
      </c>
      <c r="Q31" s="107">
        <v>4110</v>
      </c>
      <c r="R31" s="107">
        <v>1993</v>
      </c>
      <c r="S31" s="107">
        <v>2400</v>
      </c>
      <c r="T31" s="107">
        <v>9229</v>
      </c>
      <c r="U31" s="107">
        <v>6640</v>
      </c>
      <c r="V31" s="107">
        <v>2320</v>
      </c>
      <c r="W31" s="107">
        <v>1446</v>
      </c>
      <c r="X31" s="107">
        <v>2280</v>
      </c>
      <c r="Y31" s="107">
        <v>1146</v>
      </c>
      <c r="Z31" s="107">
        <v>1944</v>
      </c>
      <c r="AA31" s="107">
        <v>2732</v>
      </c>
      <c r="AB31" s="107">
        <v>403</v>
      </c>
      <c r="AC31" s="107">
        <v>803</v>
      </c>
      <c r="AD31" s="75">
        <v>2025</v>
      </c>
      <c r="AE31" s="75">
        <v>3176</v>
      </c>
      <c r="AF31" s="75">
        <v>1855</v>
      </c>
      <c r="AG31" s="75">
        <v>1736</v>
      </c>
      <c r="AH31" s="75">
        <v>2352</v>
      </c>
      <c r="AI31" s="75">
        <v>601</v>
      </c>
      <c r="AJ31" s="128">
        <v>543</v>
      </c>
      <c r="AK31" s="75">
        <v>22</v>
      </c>
      <c r="AL31" s="163">
        <v>100</v>
      </c>
      <c r="AM31" s="128">
        <v>336</v>
      </c>
      <c r="AN31" s="128">
        <v>679.33299999999997</v>
      </c>
      <c r="AO31" s="128">
        <v>1294</v>
      </c>
      <c r="AP31" s="167">
        <v>666</v>
      </c>
      <c r="AQ31" s="153"/>
      <c r="AR31" s="6"/>
    </row>
    <row r="32" spans="1:44" ht="13.5" customHeight="1">
      <c r="A32" s="6"/>
      <c r="B32" s="21"/>
      <c r="C32" s="22" t="s">
        <v>3</v>
      </c>
      <c r="D32" s="86">
        <f t="shared" ca="1" si="4"/>
        <v>288</v>
      </c>
      <c r="E32" s="99"/>
      <c r="F32" s="148">
        <f t="shared" ca="1" si="1"/>
        <v>288</v>
      </c>
      <c r="G32" s="150"/>
      <c r="H32" s="1971">
        <f t="shared" ca="1" si="2"/>
        <v>1185.3340000000001</v>
      </c>
      <c r="I32" s="1972"/>
      <c r="J32" s="1973"/>
      <c r="K32" s="98"/>
      <c r="L32" s="91"/>
      <c r="M32" s="41"/>
      <c r="N32" s="44" t="s">
        <v>3</v>
      </c>
      <c r="O32" s="105">
        <v>4820</v>
      </c>
      <c r="P32" s="105">
        <v>2200</v>
      </c>
      <c r="Q32" s="105">
        <v>5460</v>
      </c>
      <c r="R32" s="105">
        <v>2099</v>
      </c>
      <c r="S32" s="105">
        <v>1411</v>
      </c>
      <c r="T32" s="105">
        <v>16000</v>
      </c>
      <c r="U32" s="105">
        <v>1784</v>
      </c>
      <c r="V32" s="105">
        <v>2210</v>
      </c>
      <c r="W32" s="105">
        <v>2388</v>
      </c>
      <c r="X32" s="105">
        <v>2876</v>
      </c>
      <c r="Y32" s="105">
        <v>800</v>
      </c>
      <c r="Z32" s="105">
        <v>1174</v>
      </c>
      <c r="AA32" s="105">
        <v>3372</v>
      </c>
      <c r="AB32" s="105">
        <v>843</v>
      </c>
      <c r="AC32" s="105">
        <v>912</v>
      </c>
      <c r="AD32" s="72">
        <v>1590</v>
      </c>
      <c r="AE32" s="72">
        <v>1470</v>
      </c>
      <c r="AF32" s="72">
        <v>2518</v>
      </c>
      <c r="AG32" s="72">
        <v>1428</v>
      </c>
      <c r="AH32" s="72">
        <v>3116</v>
      </c>
      <c r="AI32" s="72">
        <v>1778</v>
      </c>
      <c r="AJ32" s="125">
        <v>1458</v>
      </c>
      <c r="AK32" s="72">
        <v>737</v>
      </c>
      <c r="AL32" s="160">
        <v>43</v>
      </c>
      <c r="AM32" s="125">
        <v>2400</v>
      </c>
      <c r="AN32" s="125">
        <v>1134.67</v>
      </c>
      <c r="AO32" s="125">
        <v>1612</v>
      </c>
      <c r="AP32" s="168">
        <v>288</v>
      </c>
      <c r="AQ32" s="153"/>
      <c r="AR32" s="6"/>
    </row>
    <row r="33" spans="1:44" ht="13.5" customHeight="1">
      <c r="A33" s="6"/>
      <c r="B33" s="21" t="s">
        <v>145</v>
      </c>
      <c r="C33" s="22" t="s">
        <v>5</v>
      </c>
      <c r="D33" s="86">
        <f t="shared" ca="1" si="4"/>
        <v>325.3</v>
      </c>
      <c r="E33" s="99"/>
      <c r="F33" s="148">
        <f t="shared" ca="1" si="1"/>
        <v>325.3</v>
      </c>
      <c r="G33" s="150"/>
      <c r="H33" s="1971">
        <f t="shared" ca="1" si="2"/>
        <v>559.25</v>
      </c>
      <c r="I33" s="1972"/>
      <c r="J33" s="1973"/>
      <c r="K33" s="98"/>
      <c r="L33" s="91"/>
      <c r="M33" s="41" t="s">
        <v>10</v>
      </c>
      <c r="N33" s="44" t="s">
        <v>5</v>
      </c>
      <c r="O33" s="105">
        <v>3161</v>
      </c>
      <c r="P33" s="105">
        <v>820</v>
      </c>
      <c r="Q33" s="105">
        <v>988</v>
      </c>
      <c r="R33" s="105">
        <v>6420</v>
      </c>
      <c r="S33" s="105">
        <v>1533</v>
      </c>
      <c r="T33" s="105">
        <v>8236</v>
      </c>
      <c r="U33" s="105">
        <v>1500</v>
      </c>
      <c r="V33" s="105">
        <v>2120</v>
      </c>
      <c r="W33" s="105">
        <v>359</v>
      </c>
      <c r="X33" s="105">
        <v>1442</v>
      </c>
      <c r="Y33" s="105">
        <v>3008</v>
      </c>
      <c r="Z33" s="105">
        <v>1037</v>
      </c>
      <c r="AA33" s="105">
        <v>2923</v>
      </c>
      <c r="AB33" s="105">
        <v>955</v>
      </c>
      <c r="AC33" s="105">
        <v>1005</v>
      </c>
      <c r="AD33" s="72">
        <v>1137</v>
      </c>
      <c r="AE33" s="72">
        <v>906</v>
      </c>
      <c r="AF33" s="72">
        <v>3340</v>
      </c>
      <c r="AG33" s="72">
        <v>1121</v>
      </c>
      <c r="AH33" s="72">
        <v>3372</v>
      </c>
      <c r="AI33" s="72">
        <v>382</v>
      </c>
      <c r="AJ33" s="125">
        <v>4372</v>
      </c>
      <c r="AK33" s="72">
        <v>489</v>
      </c>
      <c r="AL33" s="160">
        <v>118</v>
      </c>
      <c r="AM33" s="125">
        <v>208</v>
      </c>
      <c r="AN33" s="125">
        <v>751.25</v>
      </c>
      <c r="AO33" s="125">
        <v>1230</v>
      </c>
      <c r="AP33" s="168">
        <v>325.3</v>
      </c>
      <c r="AQ33" s="153"/>
      <c r="AR33" s="6"/>
    </row>
    <row r="34" spans="1:44" ht="13.5" customHeight="1">
      <c r="A34" s="6"/>
      <c r="B34" s="21"/>
      <c r="C34" s="22" t="s">
        <v>6</v>
      </c>
      <c r="D34" s="86">
        <f t="shared" ca="1" si="4"/>
        <v>126.7</v>
      </c>
      <c r="E34" s="99"/>
      <c r="F34" s="148">
        <f t="shared" ca="1" si="1"/>
        <v>126.7</v>
      </c>
      <c r="G34" s="150"/>
      <c r="H34" s="1971">
        <f t="shared" ca="1" si="2"/>
        <v>376.65</v>
      </c>
      <c r="I34" s="1972"/>
      <c r="J34" s="1973"/>
      <c r="K34" s="98"/>
      <c r="L34" s="91"/>
      <c r="M34" s="41"/>
      <c r="N34" s="44" t="s">
        <v>6</v>
      </c>
      <c r="O34" s="105">
        <v>2508</v>
      </c>
      <c r="P34" s="105">
        <v>168</v>
      </c>
      <c r="Q34" s="105">
        <v>624</v>
      </c>
      <c r="R34" s="105">
        <v>3060</v>
      </c>
      <c r="S34" s="105">
        <v>2004</v>
      </c>
      <c r="T34" s="105">
        <v>1979</v>
      </c>
      <c r="U34" s="105">
        <v>3700</v>
      </c>
      <c r="V34" s="105">
        <v>2315</v>
      </c>
      <c r="W34" s="105">
        <v>471</v>
      </c>
      <c r="X34" s="105">
        <v>689</v>
      </c>
      <c r="Y34" s="105">
        <v>2700</v>
      </c>
      <c r="Z34" s="105">
        <v>384</v>
      </c>
      <c r="AA34" s="105">
        <v>1895</v>
      </c>
      <c r="AB34" s="105">
        <v>814</v>
      </c>
      <c r="AC34" s="105">
        <v>1214</v>
      </c>
      <c r="AD34" s="72">
        <v>260</v>
      </c>
      <c r="AE34" s="72">
        <v>765</v>
      </c>
      <c r="AF34" s="72">
        <v>2594</v>
      </c>
      <c r="AG34" s="72">
        <v>738</v>
      </c>
      <c r="AH34" s="72">
        <v>2343</v>
      </c>
      <c r="AI34" s="72">
        <v>193</v>
      </c>
      <c r="AJ34" s="125">
        <v>3504</v>
      </c>
      <c r="AK34" s="72">
        <v>395</v>
      </c>
      <c r="AL34" s="160">
        <v>75</v>
      </c>
      <c r="AM34" s="125">
        <v>410</v>
      </c>
      <c r="AN34" s="125">
        <v>357</v>
      </c>
      <c r="AO34" s="125">
        <v>646.25</v>
      </c>
      <c r="AP34" s="168">
        <v>126.7</v>
      </c>
      <c r="AQ34" s="153"/>
      <c r="AR34" s="6"/>
    </row>
    <row r="35" spans="1:44" ht="13.5" customHeight="1">
      <c r="A35" s="6"/>
      <c r="B35" s="21"/>
      <c r="C35" s="22" t="s">
        <v>7</v>
      </c>
      <c r="D35" s="86">
        <f t="shared" ca="1" si="4"/>
        <v>273</v>
      </c>
      <c r="E35" s="99"/>
      <c r="F35" s="148">
        <f t="shared" ca="1" si="1"/>
        <v>273</v>
      </c>
      <c r="G35" s="150"/>
      <c r="H35" s="1971">
        <f t="shared" ca="1" si="2"/>
        <v>380</v>
      </c>
      <c r="I35" s="1972"/>
      <c r="J35" s="1973"/>
      <c r="K35" s="98"/>
      <c r="L35" s="91"/>
      <c r="M35" s="41"/>
      <c r="N35" s="44" t="s">
        <v>7</v>
      </c>
      <c r="O35" s="105">
        <v>936</v>
      </c>
      <c r="P35" s="105">
        <v>1204</v>
      </c>
      <c r="Q35" s="105">
        <v>236</v>
      </c>
      <c r="R35" s="105">
        <v>420</v>
      </c>
      <c r="S35" s="105">
        <v>588</v>
      </c>
      <c r="T35" s="105">
        <v>88</v>
      </c>
      <c r="U35" s="105">
        <v>1187</v>
      </c>
      <c r="V35" s="105">
        <v>4460</v>
      </c>
      <c r="W35" s="105">
        <v>572</v>
      </c>
      <c r="X35" s="105">
        <v>1250</v>
      </c>
      <c r="Y35" s="105">
        <v>1772</v>
      </c>
      <c r="Z35" s="105">
        <v>353</v>
      </c>
      <c r="AA35" s="105">
        <v>870</v>
      </c>
      <c r="AB35" s="105">
        <v>406</v>
      </c>
      <c r="AC35" s="105">
        <v>1118</v>
      </c>
      <c r="AD35" s="72">
        <v>545</v>
      </c>
      <c r="AE35" s="72">
        <v>315</v>
      </c>
      <c r="AF35" s="72">
        <v>1603</v>
      </c>
      <c r="AG35" s="72">
        <v>478</v>
      </c>
      <c r="AH35" s="72">
        <v>882</v>
      </c>
      <c r="AI35" s="72">
        <v>412</v>
      </c>
      <c r="AJ35" s="125">
        <v>1689</v>
      </c>
      <c r="AK35" s="72">
        <v>134</v>
      </c>
      <c r="AL35" s="160">
        <v>547</v>
      </c>
      <c r="AM35" s="125">
        <v>594</v>
      </c>
      <c r="AN35" s="125">
        <v>170</v>
      </c>
      <c r="AO35" s="125">
        <v>455</v>
      </c>
      <c r="AP35" s="168">
        <v>273</v>
      </c>
      <c r="AQ35" s="153"/>
      <c r="AR35" s="6"/>
    </row>
    <row r="36" spans="1:44" ht="13.5" customHeight="1" thickBot="1">
      <c r="A36" s="6"/>
      <c r="B36" s="27"/>
      <c r="C36" s="28" t="s">
        <v>8</v>
      </c>
      <c r="D36" s="92">
        <f t="shared" ca="1" si="4"/>
        <v>1538</v>
      </c>
      <c r="E36" s="100"/>
      <c r="F36" s="151">
        <f t="shared" ca="1" si="1"/>
        <v>1538</v>
      </c>
      <c r="G36" s="152"/>
      <c r="H36" s="1977">
        <f t="shared" ca="1" si="2"/>
        <v>413.5</v>
      </c>
      <c r="I36" s="1978"/>
      <c r="J36" s="1979"/>
      <c r="K36" s="101"/>
      <c r="L36" s="91"/>
      <c r="M36" s="4"/>
      <c r="N36" s="16" t="s">
        <v>8</v>
      </c>
      <c r="O36" s="108">
        <v>1008</v>
      </c>
      <c r="P36" s="108">
        <v>2228</v>
      </c>
      <c r="Q36" s="108">
        <v>307</v>
      </c>
      <c r="R36" s="108">
        <v>583</v>
      </c>
      <c r="S36" s="108">
        <v>235</v>
      </c>
      <c r="T36" s="108">
        <v>146</v>
      </c>
      <c r="U36" s="108">
        <v>509</v>
      </c>
      <c r="V36" s="108">
        <v>722</v>
      </c>
      <c r="W36" s="108">
        <v>721</v>
      </c>
      <c r="X36" s="108">
        <v>6820</v>
      </c>
      <c r="Y36" s="108">
        <v>50</v>
      </c>
      <c r="Z36" s="108">
        <v>426</v>
      </c>
      <c r="AA36" s="108">
        <v>853</v>
      </c>
      <c r="AB36" s="108">
        <v>198</v>
      </c>
      <c r="AC36" s="108">
        <v>908</v>
      </c>
      <c r="AD36" s="73">
        <v>1655</v>
      </c>
      <c r="AE36" s="73">
        <v>465</v>
      </c>
      <c r="AF36" s="73">
        <v>522</v>
      </c>
      <c r="AG36" s="73">
        <v>295</v>
      </c>
      <c r="AH36" s="73">
        <v>469</v>
      </c>
      <c r="AI36" s="73">
        <v>545</v>
      </c>
      <c r="AJ36" s="126">
        <v>2001</v>
      </c>
      <c r="AK36" s="73">
        <v>138</v>
      </c>
      <c r="AL36" s="161">
        <v>392</v>
      </c>
      <c r="AM36" s="126">
        <v>1142</v>
      </c>
      <c r="AN36" s="126">
        <v>155</v>
      </c>
      <c r="AO36" s="126">
        <v>240.5</v>
      </c>
      <c r="AP36" s="170">
        <v>1538</v>
      </c>
      <c r="AQ36" s="153"/>
      <c r="AR36" s="6"/>
    </row>
    <row r="37" spans="1:44" ht="13.5" customHeight="1">
      <c r="A37" s="6"/>
      <c r="B37" s="21"/>
      <c r="C37" s="10" t="s">
        <v>2</v>
      </c>
      <c r="D37" s="86">
        <f t="shared" ca="1" si="4"/>
        <v>906.7</v>
      </c>
      <c r="E37" s="99"/>
      <c r="F37" s="148">
        <f t="shared" ca="1" si="1"/>
        <v>906.7</v>
      </c>
      <c r="G37" s="150"/>
      <c r="H37" s="1974">
        <f t="shared" ca="1" si="2"/>
        <v>386.28000000000003</v>
      </c>
      <c r="I37" s="1975"/>
      <c r="J37" s="1976"/>
      <c r="K37" s="98"/>
      <c r="L37" s="91"/>
      <c r="M37" s="41"/>
      <c r="N37" s="12" t="s">
        <v>2</v>
      </c>
      <c r="O37" s="104">
        <v>1932</v>
      </c>
      <c r="P37" s="104">
        <v>6084</v>
      </c>
      <c r="Q37" s="104">
        <v>137</v>
      </c>
      <c r="R37" s="104">
        <v>1364</v>
      </c>
      <c r="S37" s="104">
        <v>134</v>
      </c>
      <c r="T37" s="104">
        <v>141</v>
      </c>
      <c r="U37" s="104">
        <v>96</v>
      </c>
      <c r="V37" s="104">
        <v>347</v>
      </c>
      <c r="W37" s="104">
        <v>41</v>
      </c>
      <c r="X37" s="104">
        <v>5532</v>
      </c>
      <c r="Y37" s="104">
        <v>84</v>
      </c>
      <c r="Z37" s="104">
        <v>477</v>
      </c>
      <c r="AA37" s="104">
        <v>510</v>
      </c>
      <c r="AB37" s="104">
        <v>622</v>
      </c>
      <c r="AC37" s="104">
        <v>315</v>
      </c>
      <c r="AD37" s="71">
        <v>1775</v>
      </c>
      <c r="AE37" s="71">
        <v>461</v>
      </c>
      <c r="AF37" s="71">
        <v>314</v>
      </c>
      <c r="AG37" s="71">
        <v>570</v>
      </c>
      <c r="AH37" s="71">
        <v>907</v>
      </c>
      <c r="AI37" s="71">
        <v>100</v>
      </c>
      <c r="AJ37" s="124">
        <v>2432</v>
      </c>
      <c r="AK37" s="71">
        <v>286</v>
      </c>
      <c r="AL37" s="159">
        <v>303</v>
      </c>
      <c r="AM37" s="124">
        <v>714</v>
      </c>
      <c r="AN37" s="124">
        <v>494</v>
      </c>
      <c r="AO37" s="124">
        <v>134.4</v>
      </c>
      <c r="AP37" s="171">
        <v>906.7</v>
      </c>
      <c r="AQ37" s="153"/>
      <c r="AR37" s="6"/>
    </row>
    <row r="38" spans="1:44" ht="13.5" customHeight="1">
      <c r="A38" s="6"/>
      <c r="B38" s="21"/>
      <c r="C38" s="22" t="s">
        <v>3</v>
      </c>
      <c r="D38" s="86">
        <f t="shared" ca="1" si="4"/>
        <v>509.6</v>
      </c>
      <c r="E38" s="99"/>
      <c r="F38" s="148">
        <f t="shared" ca="1" si="1"/>
        <v>509.6</v>
      </c>
      <c r="G38" s="150"/>
      <c r="H38" s="1971">
        <f t="shared" ca="1" si="2"/>
        <v>397.15</v>
      </c>
      <c r="I38" s="1972"/>
      <c r="J38" s="1973"/>
      <c r="K38" s="98"/>
      <c r="L38" s="91"/>
      <c r="M38" s="41"/>
      <c r="N38" s="44" t="s">
        <v>3</v>
      </c>
      <c r="O38" s="105">
        <v>3860</v>
      </c>
      <c r="P38" s="105">
        <v>11880</v>
      </c>
      <c r="Q38" s="105">
        <v>2357</v>
      </c>
      <c r="R38" s="105">
        <v>1976</v>
      </c>
      <c r="S38" s="105">
        <v>88</v>
      </c>
      <c r="T38" s="105">
        <v>143</v>
      </c>
      <c r="U38" s="105">
        <v>254</v>
      </c>
      <c r="V38" s="105">
        <v>86</v>
      </c>
      <c r="W38" s="105">
        <v>176</v>
      </c>
      <c r="X38" s="105">
        <v>5164</v>
      </c>
      <c r="Y38" s="105">
        <v>53</v>
      </c>
      <c r="Z38" s="105">
        <v>407</v>
      </c>
      <c r="AA38" s="105">
        <v>469</v>
      </c>
      <c r="AB38" s="105">
        <v>905</v>
      </c>
      <c r="AC38" s="105">
        <v>427</v>
      </c>
      <c r="AD38" s="72">
        <v>515</v>
      </c>
      <c r="AE38" s="72">
        <v>230</v>
      </c>
      <c r="AF38" s="72">
        <v>545</v>
      </c>
      <c r="AG38" s="72">
        <v>718</v>
      </c>
      <c r="AH38" s="72">
        <v>1682</v>
      </c>
      <c r="AI38" s="72">
        <v>357</v>
      </c>
      <c r="AJ38" s="125">
        <v>3508</v>
      </c>
      <c r="AK38" s="72">
        <v>380</v>
      </c>
      <c r="AL38" s="160">
        <v>154</v>
      </c>
      <c r="AM38" s="125">
        <v>755</v>
      </c>
      <c r="AN38" s="125"/>
      <c r="AO38" s="125">
        <v>299.60000000000002</v>
      </c>
      <c r="AP38" s="168">
        <v>509.6</v>
      </c>
      <c r="AQ38" s="153"/>
      <c r="AR38" s="6"/>
    </row>
    <row r="39" spans="1:44" ht="13.5" customHeight="1">
      <c r="A39" s="6"/>
      <c r="B39" s="21" t="s">
        <v>146</v>
      </c>
      <c r="C39" s="22" t="s">
        <v>5</v>
      </c>
      <c r="D39" s="86">
        <f t="shared" ca="1" si="4"/>
        <v>581.70000000000005</v>
      </c>
      <c r="E39" s="99"/>
      <c r="F39" s="148">
        <f t="shared" ca="1" si="1"/>
        <v>581.70000000000005</v>
      </c>
      <c r="G39" s="150"/>
      <c r="H39" s="1971">
        <f t="shared" ca="1" si="2"/>
        <v>535.38</v>
      </c>
      <c r="I39" s="1972"/>
      <c r="J39" s="1973"/>
      <c r="K39" s="98"/>
      <c r="L39" s="91"/>
      <c r="M39" s="41" t="s">
        <v>11</v>
      </c>
      <c r="N39" s="44" t="s">
        <v>5</v>
      </c>
      <c r="O39" s="105">
        <v>6739</v>
      </c>
      <c r="P39" s="105">
        <v>15616</v>
      </c>
      <c r="Q39" s="105">
        <v>1740</v>
      </c>
      <c r="R39" s="105">
        <v>16723</v>
      </c>
      <c r="S39" s="105">
        <v>1332</v>
      </c>
      <c r="T39" s="105">
        <v>120</v>
      </c>
      <c r="U39" s="105">
        <v>364</v>
      </c>
      <c r="V39" s="105">
        <v>544</v>
      </c>
      <c r="W39" s="105">
        <v>821</v>
      </c>
      <c r="X39" s="105">
        <v>162</v>
      </c>
      <c r="Y39" s="105">
        <v>113</v>
      </c>
      <c r="Z39" s="105">
        <v>206</v>
      </c>
      <c r="AA39" s="105">
        <v>526</v>
      </c>
      <c r="AB39" s="105">
        <v>1043</v>
      </c>
      <c r="AC39" s="105">
        <v>465</v>
      </c>
      <c r="AD39" s="72">
        <v>1042</v>
      </c>
      <c r="AE39" s="72">
        <v>536</v>
      </c>
      <c r="AF39" s="72">
        <v>907</v>
      </c>
      <c r="AG39" s="72">
        <v>1070</v>
      </c>
      <c r="AH39" s="72">
        <v>2181</v>
      </c>
      <c r="AI39" s="72">
        <v>1291</v>
      </c>
      <c r="AJ39" s="125">
        <v>6763</v>
      </c>
      <c r="AK39" s="72">
        <v>232</v>
      </c>
      <c r="AL39" s="160">
        <v>761</v>
      </c>
      <c r="AM39" s="125">
        <v>375</v>
      </c>
      <c r="AN39" s="125">
        <v>1152.5</v>
      </c>
      <c r="AO39" s="125">
        <v>156.4</v>
      </c>
      <c r="AP39" s="168">
        <v>581.70000000000005</v>
      </c>
      <c r="AQ39" s="153"/>
      <c r="AR39" s="6"/>
    </row>
    <row r="40" spans="1:44" ht="13.5" customHeight="1">
      <c r="A40" s="6"/>
      <c r="B40" s="21"/>
      <c r="C40" s="22" t="s">
        <v>6</v>
      </c>
      <c r="D40" s="86">
        <f t="shared" ca="1" si="4"/>
        <v>2357.5</v>
      </c>
      <c r="E40" s="99"/>
      <c r="F40" s="148">
        <f t="shared" ca="1" si="1"/>
        <v>2357.5</v>
      </c>
      <c r="G40" s="150"/>
      <c r="H40" s="1971">
        <f t="shared" ca="1" si="2"/>
        <v>739.81999999999994</v>
      </c>
      <c r="I40" s="1972"/>
      <c r="J40" s="1973"/>
      <c r="K40" s="98"/>
      <c r="L40" s="91"/>
      <c r="M40" s="41"/>
      <c r="N40" s="44" t="s">
        <v>6</v>
      </c>
      <c r="O40" s="105">
        <v>6792</v>
      </c>
      <c r="P40" s="105">
        <v>5116</v>
      </c>
      <c r="Q40" s="105">
        <v>7668</v>
      </c>
      <c r="R40" s="105">
        <v>4697</v>
      </c>
      <c r="S40" s="105">
        <v>2624</v>
      </c>
      <c r="T40" s="105">
        <v>112</v>
      </c>
      <c r="U40" s="105">
        <v>854</v>
      </c>
      <c r="V40" s="105">
        <v>1114</v>
      </c>
      <c r="W40" s="105">
        <v>890</v>
      </c>
      <c r="X40" s="105">
        <v>158</v>
      </c>
      <c r="Y40" s="105">
        <v>91</v>
      </c>
      <c r="Z40" s="105">
        <v>270</v>
      </c>
      <c r="AA40" s="105">
        <v>771</v>
      </c>
      <c r="AB40" s="105">
        <v>995</v>
      </c>
      <c r="AC40" s="105">
        <v>627</v>
      </c>
      <c r="AD40" s="72">
        <v>1676</v>
      </c>
      <c r="AE40" s="72">
        <v>599</v>
      </c>
      <c r="AF40" s="72">
        <v>673</v>
      </c>
      <c r="AG40" s="72">
        <v>1776</v>
      </c>
      <c r="AH40" s="72">
        <v>3196</v>
      </c>
      <c r="AI40" s="72">
        <v>811</v>
      </c>
      <c r="AJ40" s="125">
        <v>7717</v>
      </c>
      <c r="AK40" s="72">
        <v>801</v>
      </c>
      <c r="AL40" s="160">
        <v>938</v>
      </c>
      <c r="AM40" s="125">
        <v>1040</v>
      </c>
      <c r="AN40" s="125">
        <v>658</v>
      </c>
      <c r="AO40" s="125">
        <v>262.10000000000002</v>
      </c>
      <c r="AP40" s="168">
        <v>2357.5</v>
      </c>
      <c r="AQ40" s="153"/>
      <c r="AR40" s="6"/>
    </row>
    <row r="41" spans="1:44" ht="13.5" customHeight="1">
      <c r="A41" s="6"/>
      <c r="B41" s="21"/>
      <c r="C41" s="22" t="s">
        <v>7</v>
      </c>
      <c r="D41" s="86">
        <f t="shared" ca="1" si="4"/>
        <v>2015.5</v>
      </c>
      <c r="E41" s="99"/>
      <c r="F41" s="148">
        <f t="shared" ca="1" si="1"/>
        <v>2015.5</v>
      </c>
      <c r="G41" s="150"/>
      <c r="H41" s="1971">
        <f t="shared" ca="1" si="2"/>
        <v>474.18</v>
      </c>
      <c r="I41" s="1972"/>
      <c r="J41" s="1973"/>
      <c r="K41" s="98"/>
      <c r="L41" s="91"/>
      <c r="M41" s="41"/>
      <c r="N41" s="44" t="s">
        <v>7</v>
      </c>
      <c r="O41" s="105">
        <v>2044</v>
      </c>
      <c r="P41" s="105">
        <v>3120</v>
      </c>
      <c r="Q41" s="105">
        <v>2112</v>
      </c>
      <c r="R41" s="105">
        <v>4180</v>
      </c>
      <c r="S41" s="105">
        <v>3080</v>
      </c>
      <c r="T41" s="105">
        <v>167</v>
      </c>
      <c r="U41" s="105">
        <v>1596</v>
      </c>
      <c r="V41" s="105">
        <v>1225</v>
      </c>
      <c r="W41" s="105">
        <v>1492</v>
      </c>
      <c r="X41" s="105">
        <v>140</v>
      </c>
      <c r="Y41" s="105">
        <v>119</v>
      </c>
      <c r="Z41" s="105">
        <v>285</v>
      </c>
      <c r="AA41" s="105">
        <v>821</v>
      </c>
      <c r="AB41" s="105">
        <v>1230</v>
      </c>
      <c r="AC41" s="105">
        <v>779</v>
      </c>
      <c r="AD41" s="72">
        <v>1592</v>
      </c>
      <c r="AE41" s="72">
        <v>505</v>
      </c>
      <c r="AF41" s="72">
        <v>552</v>
      </c>
      <c r="AG41" s="72">
        <v>2030</v>
      </c>
      <c r="AH41" s="72">
        <v>1173</v>
      </c>
      <c r="AI41" s="72">
        <v>881</v>
      </c>
      <c r="AJ41" s="125">
        <v>5292</v>
      </c>
      <c r="AK41" s="72">
        <v>440</v>
      </c>
      <c r="AL41" s="160">
        <v>685</v>
      </c>
      <c r="AM41" s="125">
        <v>500</v>
      </c>
      <c r="AN41" s="125">
        <v>537</v>
      </c>
      <c r="AO41" s="125">
        <v>208.9</v>
      </c>
      <c r="AP41" s="168">
        <v>2015.5</v>
      </c>
      <c r="AQ41" s="153"/>
      <c r="AR41" s="6"/>
    </row>
    <row r="42" spans="1:44" ht="13.5" customHeight="1" thickBot="1">
      <c r="A42" s="6"/>
      <c r="B42" s="21"/>
      <c r="C42" s="28" t="s">
        <v>8</v>
      </c>
      <c r="D42" s="92">
        <f t="shared" ca="1" si="4"/>
        <v>496</v>
      </c>
      <c r="E42" s="100"/>
      <c r="F42" s="151">
        <f t="shared" ca="1" si="1"/>
        <v>496</v>
      </c>
      <c r="G42" s="152"/>
      <c r="H42" s="1977">
        <f t="shared" ca="1" si="2"/>
        <v>299.86066666666665</v>
      </c>
      <c r="I42" s="1978"/>
      <c r="J42" s="1979"/>
      <c r="K42" s="101"/>
      <c r="L42" s="91"/>
      <c r="M42" s="41"/>
      <c r="N42" s="16" t="s">
        <v>8</v>
      </c>
      <c r="O42" s="106">
        <v>856</v>
      </c>
      <c r="P42" s="106">
        <v>388</v>
      </c>
      <c r="Q42" s="106">
        <v>97</v>
      </c>
      <c r="R42" s="106">
        <v>2010</v>
      </c>
      <c r="S42" s="106">
        <v>3193</v>
      </c>
      <c r="T42" s="106">
        <v>167</v>
      </c>
      <c r="U42" s="106">
        <v>1886</v>
      </c>
      <c r="V42" s="106">
        <v>2829</v>
      </c>
      <c r="W42" s="106">
        <v>2343</v>
      </c>
      <c r="X42" s="106">
        <v>94</v>
      </c>
      <c r="Y42" s="106">
        <v>194</v>
      </c>
      <c r="Z42" s="106">
        <v>526</v>
      </c>
      <c r="AA42" s="106">
        <v>1048</v>
      </c>
      <c r="AB42" s="106">
        <v>841</v>
      </c>
      <c r="AC42" s="106">
        <v>756</v>
      </c>
      <c r="AD42" s="74">
        <v>520</v>
      </c>
      <c r="AE42" s="74">
        <v>1325</v>
      </c>
      <c r="AF42" s="74">
        <v>1568</v>
      </c>
      <c r="AG42" s="74">
        <v>2357</v>
      </c>
      <c r="AH42" s="74">
        <v>2447</v>
      </c>
      <c r="AI42" s="74">
        <v>197</v>
      </c>
      <c r="AJ42" s="127">
        <v>3328</v>
      </c>
      <c r="AK42" s="74">
        <v>655</v>
      </c>
      <c r="AL42" s="162">
        <f>103*5/6</f>
        <v>85.833333333333329</v>
      </c>
      <c r="AM42" s="127">
        <v>166.6</v>
      </c>
      <c r="AN42" s="127">
        <v>318.57</v>
      </c>
      <c r="AO42" s="127">
        <v>273.3</v>
      </c>
      <c r="AP42" s="170">
        <v>496</v>
      </c>
      <c r="AQ42" s="153"/>
      <c r="AR42" s="6"/>
    </row>
    <row r="43" spans="1:44" ht="13.5" customHeight="1">
      <c r="A43" s="6"/>
      <c r="B43" s="17"/>
      <c r="C43" s="10" t="s">
        <v>2</v>
      </c>
      <c r="D43" s="86">
        <f t="shared" ca="1" si="4"/>
        <v>426</v>
      </c>
      <c r="E43" s="99"/>
      <c r="F43" s="148">
        <f t="shared" ca="1" si="1"/>
        <v>426</v>
      </c>
      <c r="G43" s="150"/>
      <c r="H43" s="1974">
        <f t="shared" ca="1" si="2"/>
        <v>324.14279999999997</v>
      </c>
      <c r="I43" s="1975"/>
      <c r="J43" s="1976"/>
      <c r="K43" s="98"/>
      <c r="L43" s="91"/>
      <c r="M43" s="37"/>
      <c r="N43" s="12" t="s">
        <v>2</v>
      </c>
      <c r="O43" s="107">
        <v>420</v>
      </c>
      <c r="P43" s="107">
        <v>404</v>
      </c>
      <c r="Q43" s="107">
        <v>244</v>
      </c>
      <c r="R43" s="107">
        <v>1272</v>
      </c>
      <c r="S43" s="107">
        <v>3915</v>
      </c>
      <c r="T43" s="107">
        <v>1454</v>
      </c>
      <c r="U43" s="107">
        <v>1088</v>
      </c>
      <c r="V43" s="107">
        <v>1836</v>
      </c>
      <c r="W43" s="107">
        <v>3717</v>
      </c>
      <c r="X43" s="107">
        <v>44</v>
      </c>
      <c r="Y43" s="107">
        <v>602</v>
      </c>
      <c r="Z43" s="107">
        <v>417</v>
      </c>
      <c r="AA43" s="107">
        <v>1344</v>
      </c>
      <c r="AB43" s="107">
        <v>940</v>
      </c>
      <c r="AC43" s="107">
        <v>1343</v>
      </c>
      <c r="AD43" s="75">
        <v>865</v>
      </c>
      <c r="AE43" s="75">
        <v>1320</v>
      </c>
      <c r="AF43" s="75">
        <v>1457</v>
      </c>
      <c r="AG43" s="75">
        <v>1615</v>
      </c>
      <c r="AH43" s="75">
        <v>1760</v>
      </c>
      <c r="AI43" s="75">
        <v>302</v>
      </c>
      <c r="AJ43" s="128">
        <v>4260</v>
      </c>
      <c r="AK43" s="75">
        <v>480</v>
      </c>
      <c r="AL43" s="163">
        <v>142</v>
      </c>
      <c r="AM43" s="128">
        <v>184</v>
      </c>
      <c r="AN43" s="128">
        <v>379.714</v>
      </c>
      <c r="AO43" s="128">
        <v>435</v>
      </c>
      <c r="AP43" s="171">
        <v>426</v>
      </c>
      <c r="AQ43" s="153"/>
      <c r="AR43" s="6"/>
    </row>
    <row r="44" spans="1:44" ht="13.5" customHeight="1">
      <c r="A44" s="6"/>
      <c r="B44" s="21"/>
      <c r="C44" s="22" t="s">
        <v>3</v>
      </c>
      <c r="D44" s="86">
        <f t="shared" ca="1" si="4"/>
        <v>602.9</v>
      </c>
      <c r="E44" s="99"/>
      <c r="F44" s="148">
        <f t="shared" ca="1" si="1"/>
        <v>602.9</v>
      </c>
      <c r="G44" s="150"/>
      <c r="H44" s="1971">
        <f t="shared" ca="1" si="2"/>
        <v>361.96600000000001</v>
      </c>
      <c r="I44" s="1972"/>
      <c r="J44" s="1973"/>
      <c r="K44" s="98"/>
      <c r="L44" s="91"/>
      <c r="M44" s="41"/>
      <c r="N44" s="44" t="s">
        <v>3</v>
      </c>
      <c r="O44" s="105">
        <v>588</v>
      </c>
      <c r="P44" s="105">
        <v>168</v>
      </c>
      <c r="Q44" s="105">
        <v>92</v>
      </c>
      <c r="R44" s="105">
        <v>1142</v>
      </c>
      <c r="S44" s="105">
        <v>5944</v>
      </c>
      <c r="T44" s="105">
        <v>2230</v>
      </c>
      <c r="U44" s="105">
        <v>879</v>
      </c>
      <c r="V44" s="105">
        <v>149</v>
      </c>
      <c r="W44" s="105">
        <v>2672</v>
      </c>
      <c r="X44" s="105">
        <v>70</v>
      </c>
      <c r="Y44" s="105">
        <v>652</v>
      </c>
      <c r="Z44" s="105">
        <v>1180</v>
      </c>
      <c r="AA44" s="105">
        <v>948</v>
      </c>
      <c r="AB44" s="105">
        <v>916</v>
      </c>
      <c r="AC44" s="105">
        <v>1324</v>
      </c>
      <c r="AD44" s="72">
        <v>692</v>
      </c>
      <c r="AE44" s="72">
        <v>1216</v>
      </c>
      <c r="AF44" s="72">
        <v>1622</v>
      </c>
      <c r="AG44" s="72">
        <v>910</v>
      </c>
      <c r="AH44" s="72">
        <v>1135</v>
      </c>
      <c r="AI44" s="72">
        <v>52</v>
      </c>
      <c r="AJ44" s="125">
        <v>2114</v>
      </c>
      <c r="AK44" s="72">
        <v>502</v>
      </c>
      <c r="AL44" s="160">
        <v>96</v>
      </c>
      <c r="AM44" s="125">
        <v>86</v>
      </c>
      <c r="AN44" s="125">
        <v>320.83</v>
      </c>
      <c r="AO44" s="125">
        <v>805</v>
      </c>
      <c r="AP44" s="168">
        <v>602.9</v>
      </c>
      <c r="AQ44" s="153"/>
      <c r="AR44" s="6"/>
    </row>
    <row r="45" spans="1:44" ht="13.5" customHeight="1">
      <c r="A45" s="6"/>
      <c r="B45" s="21" t="s">
        <v>147</v>
      </c>
      <c r="C45" s="22" t="s">
        <v>5</v>
      </c>
      <c r="D45" s="86">
        <f t="shared" ca="1" si="4"/>
        <v>479.1</v>
      </c>
      <c r="E45" s="99"/>
      <c r="F45" s="148">
        <f t="shared" ca="1" si="1"/>
        <v>479.1</v>
      </c>
      <c r="G45" s="150"/>
      <c r="H45" s="1971">
        <f t="shared" ca="1" si="2"/>
        <v>400.4932</v>
      </c>
      <c r="I45" s="1972"/>
      <c r="J45" s="1973"/>
      <c r="K45" s="98"/>
      <c r="L45" s="91"/>
      <c r="M45" s="41" t="s">
        <v>12</v>
      </c>
      <c r="N45" s="44" t="s">
        <v>5</v>
      </c>
      <c r="O45" s="105">
        <v>356</v>
      </c>
      <c r="P45" s="105">
        <v>1092</v>
      </c>
      <c r="Q45" s="105">
        <v>208</v>
      </c>
      <c r="R45" s="105">
        <v>1580</v>
      </c>
      <c r="S45" s="105">
        <v>3627</v>
      </c>
      <c r="T45" s="105">
        <v>1892</v>
      </c>
      <c r="U45" s="105">
        <v>639</v>
      </c>
      <c r="V45" s="105">
        <v>730</v>
      </c>
      <c r="W45" s="105">
        <v>2790</v>
      </c>
      <c r="X45" s="105">
        <v>358</v>
      </c>
      <c r="Y45" s="105">
        <v>1614</v>
      </c>
      <c r="Z45" s="105">
        <v>1049</v>
      </c>
      <c r="AA45" s="105">
        <v>418</v>
      </c>
      <c r="AB45" s="105">
        <v>410</v>
      </c>
      <c r="AC45" s="105">
        <v>978</v>
      </c>
      <c r="AD45" s="72">
        <v>312</v>
      </c>
      <c r="AE45" s="72">
        <v>1061</v>
      </c>
      <c r="AF45" s="72">
        <v>1182</v>
      </c>
      <c r="AG45" s="72">
        <v>475</v>
      </c>
      <c r="AH45" s="72">
        <v>491</v>
      </c>
      <c r="AI45" s="72">
        <v>195</v>
      </c>
      <c r="AJ45" s="125">
        <v>640</v>
      </c>
      <c r="AK45" s="72">
        <v>378</v>
      </c>
      <c r="AL45" s="160">
        <v>56</v>
      </c>
      <c r="AM45" s="125">
        <v>20</v>
      </c>
      <c r="AN45" s="125">
        <v>144.166</v>
      </c>
      <c r="AO45" s="125">
        <v>1404.3</v>
      </c>
      <c r="AP45" s="168">
        <v>479.1</v>
      </c>
      <c r="AQ45" s="153"/>
      <c r="AR45" s="6"/>
    </row>
    <row r="46" spans="1:44" ht="13.5" customHeight="1">
      <c r="A46" s="6"/>
      <c r="B46" s="21"/>
      <c r="C46" s="22" t="s">
        <v>6</v>
      </c>
      <c r="D46" s="86">
        <f t="shared" ca="1" si="4"/>
        <v>126</v>
      </c>
      <c r="E46" s="99"/>
      <c r="F46" s="148">
        <f t="shared" ca="1" si="1"/>
        <v>126</v>
      </c>
      <c r="G46" s="150"/>
      <c r="H46" s="1971">
        <f t="shared" ca="1" si="2"/>
        <v>225.07400000000001</v>
      </c>
      <c r="I46" s="1972"/>
      <c r="J46" s="1973"/>
      <c r="K46" s="98"/>
      <c r="L46" s="91"/>
      <c r="M46" s="41"/>
      <c r="N46" s="44" t="s">
        <v>6</v>
      </c>
      <c r="O46" s="105">
        <v>120</v>
      </c>
      <c r="P46" s="105">
        <v>392</v>
      </c>
      <c r="Q46" s="105">
        <v>264</v>
      </c>
      <c r="R46" s="105">
        <v>1450</v>
      </c>
      <c r="S46" s="105">
        <v>1313</v>
      </c>
      <c r="T46" s="105">
        <v>3200</v>
      </c>
      <c r="U46" s="105">
        <v>475</v>
      </c>
      <c r="V46" s="105">
        <v>713</v>
      </c>
      <c r="W46" s="105">
        <v>1720</v>
      </c>
      <c r="X46" s="105">
        <v>654</v>
      </c>
      <c r="Y46" s="105">
        <v>2012</v>
      </c>
      <c r="Z46" s="105">
        <v>906</v>
      </c>
      <c r="AA46" s="105">
        <v>292</v>
      </c>
      <c r="AB46" s="105">
        <v>343</v>
      </c>
      <c r="AC46" s="105">
        <v>1021</v>
      </c>
      <c r="AD46" s="72">
        <v>358</v>
      </c>
      <c r="AE46" s="72">
        <v>426</v>
      </c>
      <c r="AF46" s="72">
        <v>828</v>
      </c>
      <c r="AG46" s="72">
        <v>403</v>
      </c>
      <c r="AH46" s="72">
        <v>459</v>
      </c>
      <c r="AI46" s="72">
        <v>136</v>
      </c>
      <c r="AJ46" s="125">
        <v>499</v>
      </c>
      <c r="AK46" s="72">
        <v>318</v>
      </c>
      <c r="AL46" s="160">
        <v>70</v>
      </c>
      <c r="AM46" s="125">
        <v>26</v>
      </c>
      <c r="AN46" s="125">
        <v>62.67</v>
      </c>
      <c r="AO46" s="125">
        <v>648.70000000000005</v>
      </c>
      <c r="AP46" s="168">
        <v>126</v>
      </c>
      <c r="AQ46" s="153"/>
      <c r="AR46" s="6"/>
    </row>
    <row r="47" spans="1:44" ht="13.5" customHeight="1">
      <c r="A47" s="6"/>
      <c r="B47" s="21"/>
      <c r="C47" s="22" t="s">
        <v>7</v>
      </c>
      <c r="D47" s="86">
        <f t="shared" ca="1" si="4"/>
        <v>92</v>
      </c>
      <c r="E47" s="99"/>
      <c r="F47" s="148">
        <f t="shared" ca="1" si="1"/>
        <v>92</v>
      </c>
      <c r="G47" s="150"/>
      <c r="H47" s="1971">
        <f t="shared" ca="1" si="2"/>
        <v>416.36599999999999</v>
      </c>
      <c r="I47" s="1972"/>
      <c r="J47" s="1973"/>
      <c r="K47" s="98"/>
      <c r="L47" s="91"/>
      <c r="M47" s="41"/>
      <c r="N47" s="44" t="s">
        <v>7</v>
      </c>
      <c r="O47" s="105">
        <v>580</v>
      </c>
      <c r="P47" s="105">
        <v>740</v>
      </c>
      <c r="Q47" s="105">
        <v>404</v>
      </c>
      <c r="R47" s="105">
        <v>1468</v>
      </c>
      <c r="S47" s="105">
        <v>297</v>
      </c>
      <c r="T47" s="105">
        <v>3000</v>
      </c>
      <c r="U47" s="105">
        <v>450</v>
      </c>
      <c r="V47" s="105">
        <v>121</v>
      </c>
      <c r="W47" s="105">
        <v>1860</v>
      </c>
      <c r="X47" s="105">
        <v>367</v>
      </c>
      <c r="Y47" s="105">
        <v>2241</v>
      </c>
      <c r="Z47" s="105">
        <v>1271</v>
      </c>
      <c r="AA47" s="105">
        <v>117</v>
      </c>
      <c r="AB47" s="105">
        <v>250</v>
      </c>
      <c r="AC47" s="105">
        <v>561</v>
      </c>
      <c r="AD47" s="72">
        <v>220</v>
      </c>
      <c r="AE47" s="72">
        <v>354</v>
      </c>
      <c r="AF47" s="72">
        <v>80</v>
      </c>
      <c r="AG47" s="72">
        <v>557</v>
      </c>
      <c r="AH47" s="72">
        <v>440</v>
      </c>
      <c r="AI47" s="72">
        <v>166</v>
      </c>
      <c r="AJ47" s="125">
        <v>159</v>
      </c>
      <c r="AK47" s="72">
        <v>101</v>
      </c>
      <c r="AL47" s="160">
        <v>17</v>
      </c>
      <c r="AM47" s="125">
        <v>185</v>
      </c>
      <c r="AN47" s="125">
        <v>57.33</v>
      </c>
      <c r="AO47" s="125">
        <v>1721.5</v>
      </c>
      <c r="AP47" s="168">
        <v>92</v>
      </c>
      <c r="AQ47" s="153"/>
      <c r="AR47" s="6"/>
    </row>
    <row r="48" spans="1:44" ht="13.5" customHeight="1" thickBot="1">
      <c r="A48" s="6"/>
      <c r="B48" s="27"/>
      <c r="C48" s="28" t="s">
        <v>8</v>
      </c>
      <c r="D48" s="92">
        <f t="shared" ca="1" si="4"/>
        <v>155.69999999999999</v>
      </c>
      <c r="E48" s="100"/>
      <c r="F48" s="151">
        <f t="shared" ca="1" si="1"/>
        <v>155.69999999999999</v>
      </c>
      <c r="G48" s="152"/>
      <c r="H48" s="1977">
        <f t="shared" ca="1" si="2"/>
        <v>142.36599999999999</v>
      </c>
      <c r="I48" s="1978"/>
      <c r="J48" s="1979"/>
      <c r="K48" s="101"/>
      <c r="L48" s="91"/>
      <c r="M48" s="4"/>
      <c r="N48" s="16" t="s">
        <v>8</v>
      </c>
      <c r="O48" s="108">
        <v>192</v>
      </c>
      <c r="P48" s="108">
        <v>464</v>
      </c>
      <c r="Q48" s="108">
        <v>508</v>
      </c>
      <c r="R48" s="108">
        <v>1092</v>
      </c>
      <c r="S48" s="108">
        <v>107</v>
      </c>
      <c r="T48" s="108">
        <v>800</v>
      </c>
      <c r="U48" s="108">
        <v>232</v>
      </c>
      <c r="V48" s="108">
        <v>35</v>
      </c>
      <c r="W48" s="108">
        <v>246</v>
      </c>
      <c r="X48" s="108">
        <v>512</v>
      </c>
      <c r="Y48" s="108">
        <v>3616</v>
      </c>
      <c r="Z48" s="108">
        <v>299</v>
      </c>
      <c r="AA48" s="108">
        <v>92</v>
      </c>
      <c r="AB48" s="108">
        <v>573</v>
      </c>
      <c r="AC48" s="108">
        <v>348</v>
      </c>
      <c r="AD48" s="73">
        <v>231</v>
      </c>
      <c r="AE48" s="73">
        <v>385</v>
      </c>
      <c r="AF48" s="73">
        <v>79</v>
      </c>
      <c r="AG48" s="73">
        <v>380</v>
      </c>
      <c r="AH48" s="73">
        <v>294</v>
      </c>
      <c r="AI48" s="73">
        <v>10</v>
      </c>
      <c r="AJ48" s="126">
        <v>72</v>
      </c>
      <c r="AK48" s="73">
        <v>76</v>
      </c>
      <c r="AL48" s="161">
        <v>21</v>
      </c>
      <c r="AM48" s="126">
        <v>44</v>
      </c>
      <c r="AN48" s="126">
        <v>80.83</v>
      </c>
      <c r="AO48" s="126">
        <v>490</v>
      </c>
      <c r="AP48" s="169">
        <v>155.69999999999999</v>
      </c>
      <c r="AQ48" s="153"/>
      <c r="AR48" s="6"/>
    </row>
    <row r="49" spans="1:44" ht="13.5" customHeight="1">
      <c r="A49" s="6"/>
      <c r="B49" s="21"/>
      <c r="C49" s="10" t="s">
        <v>2</v>
      </c>
      <c r="D49" s="86">
        <f t="shared" ca="1" si="4"/>
        <v>115.5</v>
      </c>
      <c r="E49" s="99"/>
      <c r="F49" s="148">
        <f t="shared" ca="1" si="1"/>
        <v>115.5</v>
      </c>
      <c r="G49" s="150"/>
      <c r="H49" s="1974">
        <f t="shared" ca="1" si="2"/>
        <v>130.24799999999999</v>
      </c>
      <c r="I49" s="1975"/>
      <c r="J49" s="1976"/>
      <c r="K49" s="98"/>
      <c r="L49" s="91"/>
      <c r="M49" s="41"/>
      <c r="N49" s="12" t="s">
        <v>2</v>
      </c>
      <c r="O49" s="104">
        <v>264</v>
      </c>
      <c r="P49" s="104">
        <v>1108</v>
      </c>
      <c r="Q49" s="104">
        <v>452</v>
      </c>
      <c r="R49" s="104">
        <v>1132</v>
      </c>
      <c r="S49" s="104">
        <v>8</v>
      </c>
      <c r="T49" s="104">
        <v>30</v>
      </c>
      <c r="U49" s="104">
        <v>162</v>
      </c>
      <c r="V49" s="104">
        <v>13</v>
      </c>
      <c r="W49" s="104">
        <v>340</v>
      </c>
      <c r="X49" s="104">
        <v>62</v>
      </c>
      <c r="Y49" s="104">
        <v>3460</v>
      </c>
      <c r="Z49" s="104">
        <v>232</v>
      </c>
      <c r="AA49" s="104">
        <v>116</v>
      </c>
      <c r="AB49" s="104">
        <v>236</v>
      </c>
      <c r="AC49" s="104">
        <v>253</v>
      </c>
      <c r="AD49" s="71">
        <v>156</v>
      </c>
      <c r="AE49" s="71">
        <v>312</v>
      </c>
      <c r="AF49" s="71">
        <v>137</v>
      </c>
      <c r="AG49" s="71">
        <v>704</v>
      </c>
      <c r="AH49" s="71">
        <v>800</v>
      </c>
      <c r="AI49" s="71">
        <v>164</v>
      </c>
      <c r="AJ49" s="124">
        <v>73</v>
      </c>
      <c r="AK49" s="71">
        <v>31</v>
      </c>
      <c r="AL49" s="159">
        <v>79</v>
      </c>
      <c r="AM49" s="124">
        <v>378.57</v>
      </c>
      <c r="AN49" s="124">
        <v>73.67</v>
      </c>
      <c r="AO49" s="124">
        <v>89</v>
      </c>
      <c r="AP49" s="167">
        <v>115.5</v>
      </c>
      <c r="AQ49" s="153"/>
      <c r="AR49" s="6"/>
    </row>
    <row r="50" spans="1:44" ht="13.5" customHeight="1">
      <c r="A50" s="6"/>
      <c r="B50" s="21"/>
      <c r="C50" s="22" t="s">
        <v>3</v>
      </c>
      <c r="D50" s="86">
        <f t="shared" ca="1" si="4"/>
        <v>88.8</v>
      </c>
      <c r="E50" s="99"/>
      <c r="F50" s="148">
        <f t="shared" ca="1" si="1"/>
        <v>88.8</v>
      </c>
      <c r="G50" s="150"/>
      <c r="H50" s="1971">
        <f t="shared" ca="1" si="2"/>
        <v>71.265999999999991</v>
      </c>
      <c r="I50" s="1972"/>
      <c r="J50" s="1973"/>
      <c r="K50" s="98"/>
      <c r="L50" s="91"/>
      <c r="M50" s="41"/>
      <c r="N50" s="44" t="s">
        <v>3</v>
      </c>
      <c r="O50" s="105">
        <v>540</v>
      </c>
      <c r="P50" s="105">
        <v>104</v>
      </c>
      <c r="Q50" s="105">
        <v>340</v>
      </c>
      <c r="R50" s="105">
        <v>32</v>
      </c>
      <c r="S50" s="105">
        <v>14</v>
      </c>
      <c r="T50" s="105">
        <v>20</v>
      </c>
      <c r="U50" s="105">
        <v>64</v>
      </c>
      <c r="V50" s="105">
        <v>9</v>
      </c>
      <c r="W50" s="105">
        <v>100</v>
      </c>
      <c r="X50" s="105">
        <v>30</v>
      </c>
      <c r="Y50" s="105">
        <v>1411</v>
      </c>
      <c r="Z50" s="105">
        <v>168</v>
      </c>
      <c r="AA50" s="105">
        <v>186</v>
      </c>
      <c r="AB50" s="105">
        <v>177</v>
      </c>
      <c r="AC50" s="105">
        <v>109</v>
      </c>
      <c r="AD50" s="72">
        <v>232</v>
      </c>
      <c r="AE50" s="72">
        <v>250</v>
      </c>
      <c r="AF50" s="72">
        <v>176</v>
      </c>
      <c r="AG50" s="72">
        <v>273</v>
      </c>
      <c r="AH50" s="72">
        <v>822</v>
      </c>
      <c r="AI50" s="72">
        <v>429</v>
      </c>
      <c r="AJ50" s="125">
        <v>33</v>
      </c>
      <c r="AK50" s="72">
        <v>45</v>
      </c>
      <c r="AL50" s="160">
        <v>8</v>
      </c>
      <c r="AM50" s="125">
        <v>241.43</v>
      </c>
      <c r="AN50" s="125">
        <v>30</v>
      </c>
      <c r="AO50" s="125">
        <v>31.9</v>
      </c>
      <c r="AP50" s="168">
        <v>88.8</v>
      </c>
      <c r="AQ50" s="153"/>
      <c r="AR50" s="6"/>
    </row>
    <row r="51" spans="1:44" ht="13.5" customHeight="1">
      <c r="A51" s="6"/>
      <c r="B51" s="21" t="s">
        <v>148</v>
      </c>
      <c r="C51" s="22" t="s">
        <v>5</v>
      </c>
      <c r="D51" s="86">
        <f t="shared" ca="1" si="4"/>
        <v>25.7</v>
      </c>
      <c r="E51" s="99"/>
      <c r="F51" s="148">
        <f t="shared" ca="1" si="1"/>
        <v>25.7</v>
      </c>
      <c r="G51" s="150"/>
      <c r="H51" s="1971">
        <f t="shared" ca="1" si="2"/>
        <v>34.42</v>
      </c>
      <c r="I51" s="1972"/>
      <c r="J51" s="1973"/>
      <c r="K51" s="98"/>
      <c r="L51" s="91"/>
      <c r="M51" s="41" t="s">
        <v>13</v>
      </c>
      <c r="N51" s="44" t="s">
        <v>5</v>
      </c>
      <c r="O51" s="105">
        <v>216</v>
      </c>
      <c r="P51" s="105">
        <v>24</v>
      </c>
      <c r="Q51" s="105">
        <v>96</v>
      </c>
      <c r="R51" s="105">
        <v>600</v>
      </c>
      <c r="S51" s="105">
        <v>22</v>
      </c>
      <c r="T51" s="105">
        <v>15</v>
      </c>
      <c r="U51" s="105">
        <v>42</v>
      </c>
      <c r="V51" s="105">
        <v>14</v>
      </c>
      <c r="W51" s="105">
        <v>36</v>
      </c>
      <c r="X51" s="105">
        <v>16</v>
      </c>
      <c r="Y51" s="105">
        <v>999</v>
      </c>
      <c r="Z51" s="105">
        <v>170</v>
      </c>
      <c r="AA51" s="105">
        <v>79</v>
      </c>
      <c r="AB51" s="105">
        <v>87</v>
      </c>
      <c r="AC51" s="105">
        <v>87</v>
      </c>
      <c r="AD51" s="72">
        <v>260</v>
      </c>
      <c r="AE51" s="72">
        <v>255</v>
      </c>
      <c r="AF51" s="72">
        <v>223</v>
      </c>
      <c r="AG51" s="72">
        <v>245</v>
      </c>
      <c r="AH51" s="72">
        <v>499</v>
      </c>
      <c r="AI51" s="72">
        <v>53</v>
      </c>
      <c r="AJ51" s="125">
        <v>19</v>
      </c>
      <c r="AK51" s="72">
        <v>73</v>
      </c>
      <c r="AL51" s="160">
        <v>6</v>
      </c>
      <c r="AM51" s="125">
        <v>45</v>
      </c>
      <c r="AN51" s="125">
        <v>15</v>
      </c>
      <c r="AO51" s="125">
        <v>33.1</v>
      </c>
      <c r="AP51" s="168">
        <v>25.7</v>
      </c>
      <c r="AQ51" s="153"/>
      <c r="AR51" s="6"/>
    </row>
    <row r="52" spans="1:44" ht="13.5" customHeight="1">
      <c r="A52" s="6"/>
      <c r="B52" s="21"/>
      <c r="C52" s="22" t="s">
        <v>6</v>
      </c>
      <c r="D52" s="86">
        <f t="shared" ca="1" si="4"/>
        <v>52.3</v>
      </c>
      <c r="E52" s="99"/>
      <c r="F52" s="148">
        <f t="shared" ca="1" si="1"/>
        <v>52.3</v>
      </c>
      <c r="G52" s="150"/>
      <c r="H52" s="1971">
        <f t="shared" ca="1" si="2"/>
        <v>22.2</v>
      </c>
      <c r="I52" s="1972"/>
      <c r="J52" s="1973"/>
      <c r="K52" s="98"/>
      <c r="L52" s="91"/>
      <c r="M52" s="41"/>
      <c r="N52" s="44" t="s">
        <v>6</v>
      </c>
      <c r="O52" s="105">
        <v>6</v>
      </c>
      <c r="P52" s="105">
        <v>4</v>
      </c>
      <c r="Q52" s="105">
        <v>167</v>
      </c>
      <c r="R52" s="105">
        <v>108</v>
      </c>
      <c r="S52" s="105">
        <v>4</v>
      </c>
      <c r="T52" s="105">
        <v>10</v>
      </c>
      <c r="U52" s="105">
        <v>14</v>
      </c>
      <c r="V52" s="105">
        <v>8</v>
      </c>
      <c r="W52" s="105">
        <v>20</v>
      </c>
      <c r="X52" s="105">
        <v>12</v>
      </c>
      <c r="Y52" s="105">
        <v>41</v>
      </c>
      <c r="Z52" s="105">
        <v>135</v>
      </c>
      <c r="AA52" s="105">
        <v>54</v>
      </c>
      <c r="AB52" s="105">
        <v>155</v>
      </c>
      <c r="AC52" s="105">
        <v>12</v>
      </c>
      <c r="AD52" s="72">
        <v>70</v>
      </c>
      <c r="AE52" s="72">
        <v>141</v>
      </c>
      <c r="AF52" s="72">
        <v>177</v>
      </c>
      <c r="AG52" s="72">
        <v>140</v>
      </c>
      <c r="AH52" s="72">
        <v>428</v>
      </c>
      <c r="AI52" s="72">
        <v>87</v>
      </c>
      <c r="AJ52" s="125">
        <v>44</v>
      </c>
      <c r="AK52" s="72">
        <v>16</v>
      </c>
      <c r="AL52" s="160">
        <v>4</v>
      </c>
      <c r="AM52" s="125">
        <v>20</v>
      </c>
      <c r="AN52" s="125">
        <v>15</v>
      </c>
      <c r="AO52" s="125">
        <v>56</v>
      </c>
      <c r="AP52" s="168">
        <v>52.3</v>
      </c>
      <c r="AQ52" s="153"/>
      <c r="AR52" s="6"/>
    </row>
    <row r="53" spans="1:44" ht="13.5" customHeight="1">
      <c r="A53" s="6"/>
      <c r="B53" s="21"/>
      <c r="C53" s="22" t="s">
        <v>7</v>
      </c>
      <c r="D53" s="86">
        <f t="shared" ca="1" si="4"/>
        <v>9.9</v>
      </c>
      <c r="E53" s="99"/>
      <c r="F53" s="148">
        <f t="shared" ca="1" si="1"/>
        <v>9.9</v>
      </c>
      <c r="G53" s="150"/>
      <c r="H53" s="1971">
        <f t="shared" ca="1" si="2"/>
        <v>21.759999999999998</v>
      </c>
      <c r="I53" s="1972"/>
      <c r="J53" s="1973"/>
      <c r="K53" s="98"/>
      <c r="L53" s="91"/>
      <c r="M53" s="41"/>
      <c r="N53" s="44" t="s">
        <v>7</v>
      </c>
      <c r="O53" s="105">
        <v>196</v>
      </c>
      <c r="P53" s="105">
        <v>4</v>
      </c>
      <c r="Q53" s="105">
        <v>33</v>
      </c>
      <c r="R53" s="105">
        <v>72</v>
      </c>
      <c r="S53" s="105">
        <v>0</v>
      </c>
      <c r="T53" s="105">
        <v>7</v>
      </c>
      <c r="U53" s="105">
        <v>13</v>
      </c>
      <c r="V53" s="105">
        <v>9</v>
      </c>
      <c r="W53" s="105">
        <v>18</v>
      </c>
      <c r="X53" s="105">
        <v>16</v>
      </c>
      <c r="Y53" s="105">
        <v>114</v>
      </c>
      <c r="Z53" s="105">
        <v>73</v>
      </c>
      <c r="AA53" s="105">
        <v>45</v>
      </c>
      <c r="AB53" s="105">
        <v>128</v>
      </c>
      <c r="AC53" s="105">
        <v>57</v>
      </c>
      <c r="AD53" s="72">
        <v>50</v>
      </c>
      <c r="AE53" s="72">
        <v>80</v>
      </c>
      <c r="AF53" s="72">
        <v>108</v>
      </c>
      <c r="AG53" s="72">
        <v>83</v>
      </c>
      <c r="AH53" s="72">
        <v>413</v>
      </c>
      <c r="AI53" s="72">
        <v>141</v>
      </c>
      <c r="AJ53" s="125">
        <v>28</v>
      </c>
      <c r="AK53" s="72">
        <v>20</v>
      </c>
      <c r="AL53" s="160">
        <v>0</v>
      </c>
      <c r="AM53" s="125">
        <v>10</v>
      </c>
      <c r="AN53" s="125">
        <v>50</v>
      </c>
      <c r="AO53" s="125">
        <v>28.8</v>
      </c>
      <c r="AP53" s="168">
        <v>9.9</v>
      </c>
      <c r="AQ53" s="153"/>
      <c r="AR53" s="6"/>
    </row>
    <row r="54" spans="1:44" ht="13.5" customHeight="1" thickBot="1">
      <c r="A54" s="6"/>
      <c r="B54" s="21"/>
      <c r="C54" s="28" t="s">
        <v>8</v>
      </c>
      <c r="D54" s="92">
        <f t="shared" ca="1" si="4"/>
        <v>17.100000000000001</v>
      </c>
      <c r="E54" s="100"/>
      <c r="F54" s="151">
        <f t="shared" ca="1" si="1"/>
        <v>17.100000000000001</v>
      </c>
      <c r="G54" s="152"/>
      <c r="H54" s="1977">
        <f t="shared" ca="1" si="2"/>
        <v>25.454000000000001</v>
      </c>
      <c r="I54" s="1978"/>
      <c r="J54" s="1979"/>
      <c r="K54" s="101"/>
      <c r="L54" s="91"/>
      <c r="M54" s="41"/>
      <c r="N54" s="16" t="s">
        <v>8</v>
      </c>
      <c r="O54" s="106">
        <v>52</v>
      </c>
      <c r="P54" s="106">
        <v>1</v>
      </c>
      <c r="Q54" s="106">
        <v>0</v>
      </c>
      <c r="R54" s="106">
        <v>10</v>
      </c>
      <c r="S54" s="106">
        <v>0</v>
      </c>
      <c r="T54" s="106">
        <v>3</v>
      </c>
      <c r="U54" s="106">
        <v>11</v>
      </c>
      <c r="V54" s="106">
        <v>52</v>
      </c>
      <c r="W54" s="106">
        <v>12</v>
      </c>
      <c r="X54" s="106">
        <v>3</v>
      </c>
      <c r="Y54" s="106">
        <v>46</v>
      </c>
      <c r="Z54" s="106">
        <v>20</v>
      </c>
      <c r="AA54" s="106">
        <v>75</v>
      </c>
      <c r="AB54" s="106">
        <v>35</v>
      </c>
      <c r="AC54" s="106">
        <v>45</v>
      </c>
      <c r="AD54" s="74">
        <v>55</v>
      </c>
      <c r="AE54" s="74">
        <v>59</v>
      </c>
      <c r="AF54" s="74">
        <v>62</v>
      </c>
      <c r="AG54" s="74">
        <v>42</v>
      </c>
      <c r="AH54" s="74">
        <v>248</v>
      </c>
      <c r="AI54" s="120">
        <f>118/(6/5)</f>
        <v>98.333333333333343</v>
      </c>
      <c r="AJ54" s="127">
        <v>22</v>
      </c>
      <c r="AK54" s="74">
        <v>22</v>
      </c>
      <c r="AL54" s="162">
        <v>1</v>
      </c>
      <c r="AM54" s="127">
        <v>38.299999999999997</v>
      </c>
      <c r="AN54" s="127">
        <v>51.67</v>
      </c>
      <c r="AO54" s="127">
        <v>14.3</v>
      </c>
      <c r="AP54" s="170">
        <v>17.100000000000001</v>
      </c>
      <c r="AQ54" s="153"/>
      <c r="AR54" s="6"/>
    </row>
    <row r="55" spans="1:44" ht="13.5" customHeight="1">
      <c r="A55" s="6"/>
      <c r="B55" s="17"/>
      <c r="C55" s="10" t="s">
        <v>2</v>
      </c>
      <c r="D55" s="86">
        <f t="shared" ca="1" si="4"/>
        <v>2.5</v>
      </c>
      <c r="E55" s="99"/>
      <c r="F55" s="148">
        <f t="shared" ca="1" si="1"/>
        <v>2.5</v>
      </c>
      <c r="G55" s="150"/>
      <c r="H55" s="1974">
        <f t="shared" ca="1" si="2"/>
        <v>21.919999999999998</v>
      </c>
      <c r="I55" s="1975"/>
      <c r="J55" s="1976"/>
      <c r="K55" s="98"/>
      <c r="L55" s="91"/>
      <c r="M55" s="37"/>
      <c r="N55" s="12" t="s">
        <v>2</v>
      </c>
      <c r="O55" s="107">
        <v>344</v>
      </c>
      <c r="P55" s="107">
        <v>8</v>
      </c>
      <c r="Q55" s="107">
        <v>0</v>
      </c>
      <c r="R55" s="107">
        <v>5</v>
      </c>
      <c r="S55" s="107">
        <v>4</v>
      </c>
      <c r="T55" s="107">
        <v>0</v>
      </c>
      <c r="U55" s="107"/>
      <c r="V55" s="107">
        <v>3</v>
      </c>
      <c r="W55" s="107">
        <v>6</v>
      </c>
      <c r="X55" s="107">
        <v>2</v>
      </c>
      <c r="Y55" s="107">
        <v>8</v>
      </c>
      <c r="Z55" s="107">
        <v>25</v>
      </c>
      <c r="AA55" s="107">
        <v>45</v>
      </c>
      <c r="AB55" s="107">
        <v>31</v>
      </c>
      <c r="AC55" s="107">
        <v>10</v>
      </c>
      <c r="AD55" s="75">
        <v>46</v>
      </c>
      <c r="AE55" s="75">
        <v>26</v>
      </c>
      <c r="AF55" s="75">
        <v>71</v>
      </c>
      <c r="AG55" s="75">
        <v>85</v>
      </c>
      <c r="AH55" s="75">
        <v>67</v>
      </c>
      <c r="AI55" s="75">
        <v>53</v>
      </c>
      <c r="AJ55" s="128">
        <v>2</v>
      </c>
      <c r="AK55" s="75">
        <v>24</v>
      </c>
      <c r="AL55" s="163">
        <v>0</v>
      </c>
      <c r="AM55" s="128">
        <v>3</v>
      </c>
      <c r="AN55" s="128">
        <v>47</v>
      </c>
      <c r="AO55" s="128">
        <v>35.6</v>
      </c>
      <c r="AP55" s="171">
        <v>2.5</v>
      </c>
      <c r="AQ55" s="153"/>
      <c r="AR55" s="6"/>
    </row>
    <row r="56" spans="1:44" ht="13.5" customHeight="1">
      <c r="A56" s="6"/>
      <c r="B56" s="21"/>
      <c r="C56" s="22" t="s">
        <v>3</v>
      </c>
      <c r="D56" s="86">
        <f t="shared" ca="1" si="4"/>
        <v>6.5</v>
      </c>
      <c r="E56" s="99"/>
      <c r="F56" s="148">
        <f t="shared" ca="1" si="1"/>
        <v>6.5</v>
      </c>
      <c r="G56" s="150"/>
      <c r="H56" s="1971">
        <f t="shared" ca="1" si="2"/>
        <v>27.365999999999996</v>
      </c>
      <c r="I56" s="1972"/>
      <c r="J56" s="1973"/>
      <c r="K56" s="98"/>
      <c r="L56" s="91"/>
      <c r="M56" s="41"/>
      <c r="N56" s="44" t="s">
        <v>3</v>
      </c>
      <c r="O56" s="105">
        <v>298</v>
      </c>
      <c r="P56" s="105">
        <v>12</v>
      </c>
      <c r="Q56" s="105">
        <v>0</v>
      </c>
      <c r="R56" s="105">
        <v>0</v>
      </c>
      <c r="S56" s="105">
        <v>0</v>
      </c>
      <c r="T56" s="105">
        <v>0</v>
      </c>
      <c r="U56" s="105"/>
      <c r="V56" s="105">
        <v>1</v>
      </c>
      <c r="W56" s="105">
        <v>3</v>
      </c>
      <c r="X56" s="105">
        <v>8</v>
      </c>
      <c r="Y56" s="105">
        <v>94</v>
      </c>
      <c r="Z56" s="105">
        <v>38</v>
      </c>
      <c r="AA56" s="105">
        <v>13</v>
      </c>
      <c r="AB56" s="105">
        <v>9</v>
      </c>
      <c r="AC56" s="105">
        <v>0</v>
      </c>
      <c r="AD56" s="72">
        <v>21</v>
      </c>
      <c r="AE56" s="72">
        <v>7</v>
      </c>
      <c r="AF56" s="72">
        <v>114</v>
      </c>
      <c r="AG56" s="72">
        <v>83</v>
      </c>
      <c r="AH56" s="72">
        <v>75</v>
      </c>
      <c r="AI56" s="72">
        <v>72</v>
      </c>
      <c r="AJ56" s="125">
        <v>25</v>
      </c>
      <c r="AK56" s="72">
        <v>10</v>
      </c>
      <c r="AL56" s="160">
        <v>7</v>
      </c>
      <c r="AM56" s="125">
        <v>2</v>
      </c>
      <c r="AN56" s="125">
        <v>40.83</v>
      </c>
      <c r="AO56" s="125">
        <v>77</v>
      </c>
      <c r="AP56" s="168">
        <v>6.5</v>
      </c>
      <c r="AQ56" s="153"/>
      <c r="AR56" s="6"/>
    </row>
    <row r="57" spans="1:44" ht="13.5" customHeight="1">
      <c r="A57" s="6"/>
      <c r="B57" s="21" t="s">
        <v>149</v>
      </c>
      <c r="C57" s="22" t="s">
        <v>5</v>
      </c>
      <c r="D57" s="86">
        <f t="shared" ca="1" si="4"/>
        <v>6</v>
      </c>
      <c r="E57" s="99"/>
      <c r="F57" s="148">
        <f t="shared" ca="1" si="1"/>
        <v>6</v>
      </c>
      <c r="G57" s="150"/>
      <c r="H57" s="1983">
        <f t="shared" ca="1" si="2"/>
        <v>12.125999999999999</v>
      </c>
      <c r="I57" s="1984"/>
      <c r="J57" s="1985"/>
      <c r="K57" s="98"/>
      <c r="L57" s="91"/>
      <c r="M57" s="41" t="s">
        <v>14</v>
      </c>
      <c r="N57" s="44" t="s">
        <v>5</v>
      </c>
      <c r="O57" s="105">
        <v>184</v>
      </c>
      <c r="P57" s="105">
        <v>0</v>
      </c>
      <c r="Q57" s="105">
        <v>0</v>
      </c>
      <c r="R57" s="105">
        <v>0</v>
      </c>
      <c r="S57" s="105">
        <v>0</v>
      </c>
      <c r="T57" s="105">
        <v>0</v>
      </c>
      <c r="U57" s="105"/>
      <c r="V57" s="105">
        <v>2</v>
      </c>
      <c r="W57" s="105">
        <v>16</v>
      </c>
      <c r="X57" s="105">
        <v>6</v>
      </c>
      <c r="Y57" s="105">
        <v>40</v>
      </c>
      <c r="Z57" s="105">
        <v>8</v>
      </c>
      <c r="AA57" s="105">
        <v>10</v>
      </c>
      <c r="AB57" s="105">
        <v>7</v>
      </c>
      <c r="AC57" s="105">
        <v>0</v>
      </c>
      <c r="AD57" s="72">
        <v>13</v>
      </c>
      <c r="AE57" s="72">
        <v>5</v>
      </c>
      <c r="AF57" s="72">
        <v>93</v>
      </c>
      <c r="AG57" s="72">
        <v>20</v>
      </c>
      <c r="AH57" s="72">
        <v>88</v>
      </c>
      <c r="AI57" s="72">
        <v>127</v>
      </c>
      <c r="AJ57" s="125">
        <v>75</v>
      </c>
      <c r="AK57" s="72">
        <v>9</v>
      </c>
      <c r="AL57" s="160">
        <v>1</v>
      </c>
      <c r="AM57" s="125">
        <v>0</v>
      </c>
      <c r="AN57" s="125">
        <v>16.829999999999998</v>
      </c>
      <c r="AO57" s="125">
        <v>33.799999999999997</v>
      </c>
      <c r="AP57" s="168">
        <v>6</v>
      </c>
      <c r="AQ57" s="153"/>
      <c r="AR57" s="6"/>
    </row>
    <row r="58" spans="1:44" ht="13.5" customHeight="1">
      <c r="A58" s="6"/>
      <c r="B58" s="21"/>
      <c r="C58" s="22" t="s">
        <v>6</v>
      </c>
      <c r="D58" s="86">
        <f t="shared" ca="1" si="4"/>
        <v>1</v>
      </c>
      <c r="E58" s="99"/>
      <c r="F58" s="148">
        <f t="shared" ca="1" si="1"/>
        <v>1</v>
      </c>
      <c r="G58" s="150"/>
      <c r="H58" s="1983">
        <f t="shared" ca="1" si="2"/>
        <v>21.425999999999998</v>
      </c>
      <c r="I58" s="1984"/>
      <c r="J58" s="1985"/>
      <c r="K58" s="98"/>
      <c r="L58" s="91"/>
      <c r="M58" s="41"/>
      <c r="N58" s="44" t="s">
        <v>6</v>
      </c>
      <c r="O58" s="105">
        <v>12</v>
      </c>
      <c r="P58" s="105">
        <v>0</v>
      </c>
      <c r="Q58" s="105">
        <v>0</v>
      </c>
      <c r="R58" s="105">
        <v>0</v>
      </c>
      <c r="S58" s="105">
        <v>0</v>
      </c>
      <c r="T58" s="105">
        <v>0</v>
      </c>
      <c r="U58" s="105"/>
      <c r="V58" s="105">
        <v>0</v>
      </c>
      <c r="W58" s="105">
        <v>14</v>
      </c>
      <c r="X58" s="105">
        <v>4</v>
      </c>
      <c r="Y58" s="105">
        <v>7</v>
      </c>
      <c r="Z58" s="105">
        <v>10</v>
      </c>
      <c r="AA58" s="105">
        <v>9</v>
      </c>
      <c r="AB58" s="105">
        <v>3</v>
      </c>
      <c r="AC58" s="105">
        <v>0</v>
      </c>
      <c r="AD58" s="72">
        <v>0</v>
      </c>
      <c r="AE58" s="72">
        <v>5</v>
      </c>
      <c r="AF58" s="72">
        <v>45</v>
      </c>
      <c r="AG58" s="72">
        <v>8</v>
      </c>
      <c r="AH58" s="72">
        <v>67</v>
      </c>
      <c r="AI58" s="72">
        <v>13</v>
      </c>
      <c r="AJ58" s="125">
        <v>5</v>
      </c>
      <c r="AK58" s="72">
        <v>13</v>
      </c>
      <c r="AL58" s="160">
        <v>0</v>
      </c>
      <c r="AM58" s="125">
        <v>0</v>
      </c>
      <c r="AN58" s="125">
        <v>5.33</v>
      </c>
      <c r="AO58" s="125">
        <v>88.8</v>
      </c>
      <c r="AP58" s="168">
        <v>1</v>
      </c>
      <c r="AQ58" s="153"/>
      <c r="AR58" s="6"/>
    </row>
    <row r="59" spans="1:44" ht="13.5" customHeight="1">
      <c r="A59" s="6"/>
      <c r="B59" s="21"/>
      <c r="C59" s="22" t="s">
        <v>7</v>
      </c>
      <c r="D59" s="86">
        <f t="shared" ca="1" si="4"/>
        <v>0</v>
      </c>
      <c r="E59" s="99"/>
      <c r="F59" s="148">
        <f t="shared" ca="1" si="1"/>
        <v>0</v>
      </c>
      <c r="G59" s="150"/>
      <c r="H59" s="1983">
        <f t="shared" ca="1" si="2"/>
        <v>6.1</v>
      </c>
      <c r="I59" s="1984"/>
      <c r="J59" s="1985"/>
      <c r="K59" s="98"/>
      <c r="L59" s="91"/>
      <c r="M59" s="41"/>
      <c r="N59" s="44" t="s">
        <v>7</v>
      </c>
      <c r="O59" s="105">
        <v>0</v>
      </c>
      <c r="P59" s="105">
        <v>0</v>
      </c>
      <c r="Q59" s="105">
        <v>0</v>
      </c>
      <c r="R59" s="105">
        <v>0</v>
      </c>
      <c r="S59" s="105">
        <v>0</v>
      </c>
      <c r="T59" s="105">
        <v>0</v>
      </c>
      <c r="U59" s="105"/>
      <c r="V59" s="105">
        <v>0</v>
      </c>
      <c r="W59" s="105">
        <v>28</v>
      </c>
      <c r="X59" s="105">
        <v>3</v>
      </c>
      <c r="Y59" s="105">
        <v>7</v>
      </c>
      <c r="Z59" s="105">
        <v>8</v>
      </c>
      <c r="AA59" s="105">
        <v>4</v>
      </c>
      <c r="AB59" s="105">
        <v>3</v>
      </c>
      <c r="AC59" s="105">
        <v>0</v>
      </c>
      <c r="AD59" s="72">
        <v>0</v>
      </c>
      <c r="AE59" s="72">
        <v>1</v>
      </c>
      <c r="AF59" s="72">
        <v>23</v>
      </c>
      <c r="AG59" s="72">
        <v>7</v>
      </c>
      <c r="AH59" s="72">
        <v>14</v>
      </c>
      <c r="AI59" s="72">
        <v>8</v>
      </c>
      <c r="AJ59" s="125">
        <v>11</v>
      </c>
      <c r="AK59" s="72">
        <v>5</v>
      </c>
      <c r="AL59" s="160">
        <v>0</v>
      </c>
      <c r="AM59" s="125">
        <v>0</v>
      </c>
      <c r="AN59" s="125">
        <v>8</v>
      </c>
      <c r="AO59" s="125">
        <v>17.5</v>
      </c>
      <c r="AP59" s="168">
        <v>0</v>
      </c>
      <c r="AQ59" s="153"/>
      <c r="AR59" s="6"/>
    </row>
    <row r="60" spans="1:44" ht="13.5" customHeight="1" thickBot="1">
      <c r="A60" s="6"/>
      <c r="B60" s="27"/>
      <c r="C60" s="28" t="s">
        <v>8</v>
      </c>
      <c r="D60" s="92">
        <f t="shared" ca="1" si="4"/>
        <v>0</v>
      </c>
      <c r="E60" s="100"/>
      <c r="F60" s="151">
        <f t="shared" ca="1" si="1"/>
        <v>0</v>
      </c>
      <c r="G60" s="152"/>
      <c r="H60" s="1986">
        <f t="shared" ca="1" si="2"/>
        <v>5.5540000000000003</v>
      </c>
      <c r="I60" s="1987"/>
      <c r="J60" s="1988"/>
      <c r="K60" s="101"/>
      <c r="L60" s="91"/>
      <c r="M60" s="4"/>
      <c r="N60" s="16" t="s">
        <v>8</v>
      </c>
      <c r="O60" s="106">
        <v>0</v>
      </c>
      <c r="P60" s="106">
        <v>0</v>
      </c>
      <c r="Q60" s="106">
        <v>0</v>
      </c>
      <c r="R60" s="106">
        <v>0</v>
      </c>
      <c r="S60" s="106">
        <v>0</v>
      </c>
      <c r="T60" s="106">
        <v>0</v>
      </c>
      <c r="U60" s="106"/>
      <c r="V60" s="106">
        <v>0</v>
      </c>
      <c r="W60" s="106">
        <v>20</v>
      </c>
      <c r="X60" s="106">
        <v>0</v>
      </c>
      <c r="Y60" s="106">
        <v>12</v>
      </c>
      <c r="Z60" s="106">
        <v>3</v>
      </c>
      <c r="AA60" s="106">
        <v>3</v>
      </c>
      <c r="AB60" s="106">
        <v>1</v>
      </c>
      <c r="AC60" s="106">
        <v>0</v>
      </c>
      <c r="AD60" s="74">
        <v>0</v>
      </c>
      <c r="AE60" s="74">
        <v>2</v>
      </c>
      <c r="AF60" s="74">
        <v>48</v>
      </c>
      <c r="AG60" s="74">
        <v>12</v>
      </c>
      <c r="AH60" s="74">
        <v>37</v>
      </c>
      <c r="AI60" s="74">
        <v>16</v>
      </c>
      <c r="AJ60" s="127">
        <v>1</v>
      </c>
      <c r="AK60" s="74">
        <v>7</v>
      </c>
      <c r="AL60" s="162">
        <v>0</v>
      </c>
      <c r="AM60" s="127">
        <v>0</v>
      </c>
      <c r="AN60" s="127">
        <v>11.67</v>
      </c>
      <c r="AO60" s="127">
        <v>9.1</v>
      </c>
      <c r="AP60" s="170">
        <v>0</v>
      </c>
      <c r="AQ60" s="153"/>
      <c r="AR60" s="6"/>
    </row>
    <row r="61" spans="1:44">
      <c r="AF61">
        <f t="shared" ref="AF61:AN61" si="5">SUM(AF35:AF40)</f>
        <v>4564</v>
      </c>
      <c r="AG61">
        <f t="shared" si="5"/>
        <v>4907</v>
      </c>
      <c r="AH61">
        <f t="shared" si="5"/>
        <v>9317</v>
      </c>
      <c r="AI61">
        <f t="shared" si="5"/>
        <v>3516</v>
      </c>
      <c r="AJ61">
        <f t="shared" si="5"/>
        <v>24110</v>
      </c>
      <c r="AK61">
        <f t="shared" si="5"/>
        <v>1971</v>
      </c>
      <c r="AL61">
        <f t="shared" si="5"/>
        <v>3095</v>
      </c>
      <c r="AM61">
        <f t="shared" si="5"/>
        <v>4620</v>
      </c>
      <c r="AN61">
        <f t="shared" si="5"/>
        <v>2629.5</v>
      </c>
      <c r="AO61">
        <f>SUM(AO35:AO40)</f>
        <v>1548</v>
      </c>
      <c r="AP61">
        <f>SUM(AP31:AP36)</f>
        <v>3217</v>
      </c>
    </row>
    <row r="62" spans="1:44">
      <c r="AP62">
        <f>AVERAGE(AF61:AO61)</f>
        <v>6027.75</v>
      </c>
    </row>
    <row r="63" spans="1:44">
      <c r="AP63">
        <f>AVERAGE(AF61:AO61)-1*_xlfn.STDEV.P(AF61:AO61)/SQRT(COUNT(AF61:AO61))</f>
        <v>4012.4318374633749</v>
      </c>
      <c r="AQ63">
        <f>AVERAGE(AF61:AO61)+1*_xlfn.STDEV.P(AF61:AO61)/SQRT(COUNT(AF61:AO61))</f>
        <v>8043.0681625366251</v>
      </c>
    </row>
    <row r="64" spans="1:44">
      <c r="K64" s="2"/>
      <c r="L64" s="2"/>
      <c r="M64" s="2"/>
      <c r="N64" s="2"/>
      <c r="O64" s="2"/>
      <c r="P64" s="2"/>
      <c r="AP64">
        <f>AVERAGE(AF61:AO61)-2*_xlfn.STDEV.P(AF61:AO61)/SQRT(COUNT(AF61:AO61))</f>
        <v>1997.1136749267498</v>
      </c>
      <c r="AQ64">
        <f>AVERAGE(AF61:AO61)+2*_xlfn.STDEV.P(AF61:AO61)/SQRT(COUNT(AF61:AO61))</f>
        <v>10058.38632507325</v>
      </c>
    </row>
    <row r="71" spans="11:21">
      <c r="K71" s="1"/>
      <c r="L71" s="1"/>
      <c r="M71" s="1"/>
      <c r="N71" s="1"/>
    </row>
    <row r="72" spans="11:21">
      <c r="K72" s="1"/>
      <c r="L72" s="1"/>
      <c r="O72" t="str">
        <f ca="1">IF(ISERROR(OFFSET(#REF!,0,0,1,#REF!-90)),"",OFFSET(#REF!,0,0,1,#REF!-90))</f>
        <v/>
      </c>
      <c r="P72" t="str">
        <f ca="1">IF(ISERROR(OFFSET(#REF!,0,0,1,#REF!-90)),"",OFFSET(#REF!,0,0,1,#REF!-90))</f>
        <v/>
      </c>
      <c r="Q72" s="3"/>
      <c r="R72" s="1"/>
      <c r="S72" s="1"/>
      <c r="T72" s="1"/>
      <c r="U72" s="1"/>
    </row>
    <row r="73" spans="11:21">
      <c r="K73" s="1"/>
      <c r="L73" s="1"/>
      <c r="O73" t="str">
        <f ca="1">IF(ISERROR(OFFSET(#REF!,0,0,1,#REF!-90)),"",OFFSET(#REF!,0,0,1,#REF!-90))</f>
        <v/>
      </c>
      <c r="P73" t="str">
        <f ca="1">IF(ISERROR(OFFSET(#REF!,0,0,1,#REF!-90)),"",OFFSET(#REF!,0,0,1,#REF!-90))</f>
        <v/>
      </c>
      <c r="Q73" s="3"/>
      <c r="R73" s="1"/>
      <c r="S73" s="1"/>
      <c r="T73" s="1"/>
      <c r="U73" s="1"/>
    </row>
    <row r="74" spans="11:21">
      <c r="K74" s="1"/>
      <c r="L74" s="1"/>
      <c r="O74" t="str">
        <f ca="1">IF(ISERROR(OFFSET(#REF!,0,0,1,#REF!-90)),"",OFFSET(#REF!,0,0,1,#REF!-90))</f>
        <v/>
      </c>
      <c r="P74" t="str">
        <f ca="1">IF(ISERROR(OFFSET(#REF!,0,0,1,#REF!-90)),"",OFFSET(#REF!,0,0,1,#REF!-90))</f>
        <v/>
      </c>
      <c r="Q74" s="3"/>
      <c r="R74" s="1"/>
      <c r="S74" s="1"/>
      <c r="T74" s="1"/>
      <c r="U74" s="1"/>
    </row>
    <row r="75" spans="11:21">
      <c r="K75" s="1"/>
      <c r="L75" s="1"/>
      <c r="O75" t="str">
        <f ca="1">IF(ISERROR(OFFSET(#REF!,0,0,1,#REF!-90)),"",OFFSET(#REF!,0,0,1,#REF!-90))</f>
        <v/>
      </c>
      <c r="P75" t="str">
        <f ca="1">IF(ISERROR(OFFSET(#REF!,0,0,1,#REF!-90)),"",OFFSET(#REF!,0,0,1,#REF!-90))</f>
        <v/>
      </c>
      <c r="Q75" s="3"/>
      <c r="R75" s="1"/>
      <c r="S75" s="1"/>
      <c r="T75" s="1"/>
      <c r="U75" s="1"/>
    </row>
    <row r="76" spans="11:21">
      <c r="K76" s="1"/>
      <c r="L76" s="1"/>
      <c r="O76" t="str">
        <f ca="1">IF(ISERROR(OFFSET(#REF!,0,0,1,#REF!-90)),"",OFFSET(#REF!,0,0,1,#REF!-90))</f>
        <v/>
      </c>
      <c r="P76" t="str">
        <f ca="1">IF(ISERROR(OFFSET(#REF!,0,0,1,#REF!-90)),"",OFFSET(#REF!,0,0,1,#REF!-90))</f>
        <v/>
      </c>
      <c r="Q76" s="3"/>
      <c r="R76" s="1"/>
      <c r="S76" s="1"/>
      <c r="T76" s="1"/>
      <c r="U76" s="1"/>
    </row>
    <row r="77" spans="11:21">
      <c r="K77" s="1"/>
      <c r="L77" s="1"/>
    </row>
    <row r="78" spans="11:21">
      <c r="K78" s="1"/>
      <c r="L78" s="1"/>
    </row>
    <row r="79" spans="11:21">
      <c r="K79" s="1"/>
      <c r="L79" s="1"/>
    </row>
    <row r="80" spans="11:21">
      <c r="K80" s="1"/>
      <c r="L80" s="1"/>
    </row>
  </sheetData>
  <customSheetViews>
    <customSheetView guid="{BC749C3C-D733-4D37-8792-BBFA31845F93}" scale="85" hiddenColumns="1" showRuler="0">
      <selection activeCell="B2" sqref="B2:J2"/>
      <pageMargins left="0.59055118110236227" right="0.59055118110236227" top="0.59055118110236227" bottom="0.59055118110236227" header="0.51181102362204722" footer="0.51181102362204722"/>
      <pageSetup paperSize="9" scale="75" orientation="landscape" verticalDpi="0" r:id="rId1"/>
      <headerFooter alignWithMargins="0"/>
    </customSheetView>
  </customSheetViews>
  <mergeCells count="59">
    <mergeCell ref="H12:J12"/>
    <mergeCell ref="L2:M2"/>
    <mergeCell ref="F5:F6"/>
    <mergeCell ref="H4:J4"/>
    <mergeCell ref="H6:J6"/>
    <mergeCell ref="B2:J2"/>
    <mergeCell ref="H7:J7"/>
    <mergeCell ref="H8:J8"/>
    <mergeCell ref="H9:J9"/>
    <mergeCell ref="H10:J10"/>
    <mergeCell ref="H11:J11"/>
    <mergeCell ref="H13:J13"/>
    <mergeCell ref="H14:J14"/>
    <mergeCell ref="H15:J15"/>
    <mergeCell ref="H60:J60"/>
    <mergeCell ref="H59:J59"/>
    <mergeCell ref="H58:J58"/>
    <mergeCell ref="H57:J57"/>
    <mergeCell ref="H16:J16"/>
    <mergeCell ref="H17:J17"/>
    <mergeCell ref="H18:J18"/>
    <mergeCell ref="H19:J19"/>
    <mergeCell ref="H20:J20"/>
    <mergeCell ref="H21:J21"/>
    <mergeCell ref="H22:J22"/>
    <mergeCell ref="H23:J23"/>
    <mergeCell ref="H24:J24"/>
    <mergeCell ref="H25:J25"/>
    <mergeCell ref="H26:J26"/>
    <mergeCell ref="H27:J27"/>
    <mergeCell ref="H28:J28"/>
    <mergeCell ref="H29:J29"/>
    <mergeCell ref="H30:J30"/>
    <mergeCell ref="H31:J31"/>
    <mergeCell ref="H32:J32"/>
    <mergeCell ref="H33:J33"/>
    <mergeCell ref="H34:J34"/>
    <mergeCell ref="H35:J35"/>
    <mergeCell ref="H36:J36"/>
    <mergeCell ref="H37:J37"/>
    <mergeCell ref="H38:J38"/>
    <mergeCell ref="H39:J39"/>
    <mergeCell ref="H40:J40"/>
    <mergeCell ref="H41:J41"/>
    <mergeCell ref="H42:J42"/>
    <mergeCell ref="H43:J43"/>
    <mergeCell ref="H44:J44"/>
    <mergeCell ref="H45:J45"/>
    <mergeCell ref="H46:J46"/>
    <mergeCell ref="H47:J47"/>
    <mergeCell ref="H48:J48"/>
    <mergeCell ref="H55:J55"/>
    <mergeCell ref="H56:J56"/>
    <mergeCell ref="H49:J49"/>
    <mergeCell ref="H50:J50"/>
    <mergeCell ref="H51:J51"/>
    <mergeCell ref="H52:J52"/>
    <mergeCell ref="H53:J53"/>
    <mergeCell ref="H54:J54"/>
  </mergeCells>
  <phoneticPr fontId="2"/>
  <dataValidations xWindow="444" yWindow="195" count="2">
    <dataValidation type="whole" allowBlank="1" showInputMessage="1" showErrorMessage="1" error="年数が間違っています。" prompt="年数を入力して下さい。" sqref="J5" xr:uid="{00000000-0002-0000-1100-000000000000}">
      <formula1>H5+1</formula1>
      <formula2>L2</formula2>
    </dataValidation>
    <dataValidation type="whole" allowBlank="1" showInputMessage="1" showErrorMessage="1" error="年数が間違っています。" prompt="年数を入力して下さい。" sqref="D5" xr:uid="{00000000-0002-0000-1100-000001000000}">
      <formula1>1989</formula1>
      <formula2>L2</formula2>
    </dataValidation>
  </dataValidations>
  <pageMargins left="0.59055118110236227" right="0.59055118110236227" top="0.59055118110236227" bottom="0.59055118110236227" header="0.51181102362204722" footer="0.51181102362204722"/>
  <pageSetup paperSize="9" scale="75" orientation="landscape" verticalDpi="1200" r:id="rId2"/>
  <headerFooter alignWithMargins="0"/>
  <drawing r:id="rId3"/>
  <legacyDrawing r:id="rId4"/>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811">
    <tabColor theme="3" tint="-0.249977111117893"/>
  </sheetPr>
  <dimension ref="A1:AR80"/>
  <sheetViews>
    <sheetView zoomScale="70" zoomScaleNormal="70" zoomScaleSheetLayoutView="75" workbookViewId="0">
      <pane ySplit="6" topLeftCell="A40" activePane="bottomLeft" state="frozenSplit"/>
      <selection pane="bottomLeft" activeCell="AG65" sqref="AG65"/>
    </sheetView>
  </sheetViews>
  <sheetFormatPr defaultColWidth="9" defaultRowHeight="13"/>
  <cols>
    <col min="1" max="1" width="2.6328125" style="234" customWidth="1"/>
    <col min="2" max="2" width="5.6328125" style="234" customWidth="1"/>
    <col min="3" max="3" width="6.6328125" style="234" customWidth="1"/>
    <col min="4" max="4" width="15.6328125" style="234" customWidth="1"/>
    <col min="5" max="5" width="0.453125" style="234" customWidth="1"/>
    <col min="6" max="6" width="15.6328125" style="234" customWidth="1"/>
    <col min="7" max="7" width="0.453125" style="234" customWidth="1"/>
    <col min="8" max="8" width="7.6328125" style="234" customWidth="1"/>
    <col min="9" max="9" width="2.6328125" style="234" customWidth="1"/>
    <col min="10" max="10" width="7.6328125" style="234" customWidth="1"/>
    <col min="11" max="11" width="12.08984375" style="234" hidden="1" customWidth="1"/>
    <col min="12" max="13" width="5.6328125" style="234" customWidth="1"/>
    <col min="14" max="14" width="6.6328125" style="234" customWidth="1"/>
    <col min="15" max="25" width="6.6328125" style="234" hidden="1" customWidth="1"/>
    <col min="26" max="35" width="6.6328125" style="234" customWidth="1"/>
    <col min="36" max="43" width="7.08984375" style="234" customWidth="1"/>
    <col min="44" max="44" width="5.6328125" style="234" customWidth="1"/>
    <col min="45" max="76" width="9.08984375" style="234" customWidth="1"/>
    <col min="77" max="16384" width="9" style="234"/>
  </cols>
  <sheetData>
    <row r="1" spans="1:44" ht="6" customHeight="1">
      <c r="A1" s="233"/>
      <c r="B1" s="233"/>
      <c r="C1" s="233"/>
      <c r="D1" s="233"/>
      <c r="E1" s="233"/>
      <c r="F1" s="233"/>
      <c r="G1" s="233"/>
      <c r="H1" s="233"/>
      <c r="I1" s="233"/>
      <c r="J1" s="233"/>
      <c r="K1" s="233"/>
      <c r="L1" s="233"/>
      <c r="M1" s="233"/>
      <c r="N1" s="233"/>
      <c r="O1" s="233"/>
      <c r="P1" s="233"/>
      <c r="Q1" s="233"/>
      <c r="R1" s="233"/>
      <c r="S1" s="233"/>
      <c r="T1" s="233"/>
      <c r="U1" s="233"/>
      <c r="V1" s="233"/>
      <c r="W1" s="233"/>
      <c r="X1" s="233"/>
      <c r="Y1" s="233"/>
      <c r="Z1" s="233"/>
      <c r="AA1" s="233"/>
      <c r="AB1" s="233"/>
      <c r="AC1" s="233"/>
      <c r="AD1" s="233"/>
      <c r="AE1" s="233"/>
      <c r="AF1" s="233"/>
      <c r="AG1" s="233"/>
      <c r="AH1" s="233"/>
      <c r="AI1" s="233"/>
      <c r="AJ1" s="233"/>
      <c r="AK1" s="233"/>
      <c r="AL1" s="233"/>
      <c r="AM1" s="233"/>
      <c r="AN1" s="233"/>
      <c r="AO1" s="233"/>
      <c r="AP1" s="233"/>
      <c r="AQ1" s="233"/>
      <c r="AR1" s="233"/>
    </row>
    <row r="2" spans="1:44" ht="24" customHeight="1">
      <c r="A2" s="233"/>
      <c r="B2" s="2000" t="s">
        <v>124</v>
      </c>
      <c r="C2" s="2000"/>
      <c r="D2" s="2000"/>
      <c r="E2" s="2000"/>
      <c r="F2" s="2000"/>
      <c r="G2" s="2000"/>
      <c r="H2" s="2000"/>
      <c r="I2" s="2000"/>
      <c r="J2" s="2000"/>
      <c r="K2" s="232"/>
      <c r="L2" s="2007">
        <v>2017</v>
      </c>
      <c r="M2" s="2007"/>
      <c r="N2" s="102"/>
      <c r="P2" s="235"/>
      <c r="T2" s="233"/>
      <c r="U2" s="233"/>
      <c r="V2" s="233"/>
      <c r="W2" s="233"/>
      <c r="X2" s="233"/>
      <c r="Y2" s="233"/>
      <c r="Z2" s="233"/>
      <c r="AA2" s="233"/>
      <c r="AB2" s="233"/>
      <c r="AC2" s="233"/>
      <c r="AD2" s="233"/>
      <c r="AE2" s="233"/>
      <c r="AF2" s="233"/>
      <c r="AG2" s="233"/>
      <c r="AH2" s="233"/>
      <c r="AI2" s="233"/>
      <c r="AJ2" s="233"/>
      <c r="AK2" s="233"/>
      <c r="AL2" s="233"/>
      <c r="AM2" s="233"/>
      <c r="AN2" s="233"/>
      <c r="AO2" s="233"/>
      <c r="AP2" s="233"/>
      <c r="AQ2" s="233"/>
      <c r="AR2" s="233"/>
    </row>
    <row r="3" spans="1:44" ht="6.75" customHeight="1" thickBot="1">
      <c r="A3" s="233"/>
      <c r="B3" s="7"/>
      <c r="C3" s="233"/>
      <c r="D3" s="233"/>
      <c r="E3" s="236"/>
      <c r="F3" s="237"/>
      <c r="G3" s="237"/>
      <c r="H3" s="237"/>
      <c r="I3" s="233"/>
      <c r="J3" s="233"/>
      <c r="K3" s="237"/>
      <c r="L3" s="233"/>
      <c r="M3" s="233"/>
      <c r="N3" s="233"/>
      <c r="O3" s="233"/>
      <c r="P3" s="233"/>
      <c r="Q3" s="233"/>
      <c r="R3" s="233"/>
      <c r="S3" s="233"/>
      <c r="T3" s="233"/>
      <c r="U3" s="233"/>
      <c r="V3" s="233"/>
      <c r="W3" s="233"/>
      <c r="X3" s="233"/>
      <c r="Y3" s="233"/>
      <c r="Z3" s="233"/>
      <c r="AA3" s="233"/>
      <c r="AB3" s="233"/>
      <c r="AC3" s="233"/>
      <c r="AD3" s="233"/>
      <c r="AE3" s="233"/>
      <c r="AF3" s="233"/>
      <c r="AG3" s="233"/>
      <c r="AH3" s="233"/>
      <c r="AI3" s="233"/>
      <c r="AJ3" s="233"/>
      <c r="AK3" s="233"/>
      <c r="AL3" s="233"/>
      <c r="AM3" s="233"/>
      <c r="AN3" s="233"/>
      <c r="AO3" s="233"/>
      <c r="AP3" s="233"/>
      <c r="AQ3" s="233"/>
      <c r="AR3" s="233"/>
    </row>
    <row r="4" spans="1:44" ht="21" customHeight="1" thickBot="1">
      <c r="A4" s="233"/>
      <c r="B4" s="238"/>
      <c r="C4" s="239"/>
      <c r="D4" s="240" t="s">
        <v>48</v>
      </c>
      <c r="E4" s="241"/>
      <c r="F4" s="242" t="s">
        <v>46</v>
      </c>
      <c r="G4" s="241"/>
      <c r="H4" s="2010" t="s">
        <v>47</v>
      </c>
      <c r="I4" s="2010"/>
      <c r="J4" s="2011"/>
      <c r="K4" s="243"/>
      <c r="L4" s="244"/>
      <c r="M4" s="244"/>
      <c r="N4" s="244"/>
      <c r="O4" s="236"/>
      <c r="P4" s="236"/>
      <c r="Q4" s="236"/>
      <c r="R4" s="236"/>
      <c r="S4" s="236"/>
      <c r="T4" s="236"/>
      <c r="U4" s="236"/>
      <c r="V4" s="236"/>
      <c r="W4" s="236"/>
      <c r="X4" s="236"/>
      <c r="Y4" s="236"/>
      <c r="Z4" s="236"/>
      <c r="AA4" s="236"/>
      <c r="AB4" s="236"/>
      <c r="AC4" s="236"/>
      <c r="AD4" s="236"/>
      <c r="AE4" s="236"/>
      <c r="AF4" s="236"/>
      <c r="AG4" s="236"/>
      <c r="AH4" s="236"/>
      <c r="AI4" s="236"/>
      <c r="AJ4" s="236"/>
      <c r="AK4" s="236"/>
      <c r="AL4" s="237"/>
      <c r="AM4" s="237"/>
      <c r="AN4" s="237"/>
      <c r="AO4" s="237" t="s">
        <v>133</v>
      </c>
      <c r="AP4" s="237" t="s">
        <v>139</v>
      </c>
      <c r="AQ4" s="237"/>
      <c r="AR4" s="233"/>
    </row>
    <row r="5" spans="1:44" ht="13.5" customHeight="1">
      <c r="A5" s="233"/>
      <c r="B5" s="245"/>
      <c r="C5" s="237"/>
      <c r="D5" s="246">
        <v>2017</v>
      </c>
      <c r="E5" s="247"/>
      <c r="F5" s="2008" t="s">
        <v>140</v>
      </c>
      <c r="G5" s="248"/>
      <c r="H5" s="249">
        <f>D5-5</f>
        <v>2012</v>
      </c>
      <c r="I5" s="250" t="s">
        <v>49</v>
      </c>
      <c r="J5" s="251">
        <f>D5-1</f>
        <v>2016</v>
      </c>
      <c r="K5" s="252">
        <f>$J$5-$H$5+1</f>
        <v>5</v>
      </c>
      <c r="L5" s="253"/>
      <c r="M5" s="219"/>
      <c r="N5" s="254"/>
      <c r="O5" s="220">
        <v>1989</v>
      </c>
      <c r="P5" s="220">
        <v>1990</v>
      </c>
      <c r="Q5" s="220">
        <v>1991</v>
      </c>
      <c r="R5" s="220">
        <v>1992</v>
      </c>
      <c r="S5" s="220">
        <v>1993</v>
      </c>
      <c r="T5" s="220">
        <v>1994</v>
      </c>
      <c r="U5" s="220">
        <v>1995</v>
      </c>
      <c r="V5" s="220">
        <v>1996</v>
      </c>
      <c r="W5" s="220">
        <v>1997</v>
      </c>
      <c r="X5" s="220">
        <v>1998</v>
      </c>
      <c r="Y5" s="220">
        <v>1999</v>
      </c>
      <c r="Z5" s="220">
        <v>2000</v>
      </c>
      <c r="AA5" s="220">
        <v>2001</v>
      </c>
      <c r="AB5" s="220">
        <v>2002</v>
      </c>
      <c r="AC5" s="220">
        <v>2003</v>
      </c>
      <c r="AD5" s="220">
        <v>2004</v>
      </c>
      <c r="AE5" s="220">
        <v>2005</v>
      </c>
      <c r="AF5" s="220">
        <v>2006</v>
      </c>
      <c r="AG5" s="221">
        <v>2007</v>
      </c>
      <c r="AH5" s="221">
        <v>2008</v>
      </c>
      <c r="AI5" s="221">
        <v>2009</v>
      </c>
      <c r="AJ5" s="222">
        <v>2010</v>
      </c>
      <c r="AK5" s="221">
        <v>2011</v>
      </c>
      <c r="AL5" s="227">
        <v>2012</v>
      </c>
      <c r="AM5" s="221">
        <v>2013</v>
      </c>
      <c r="AN5" s="221">
        <v>2014</v>
      </c>
      <c r="AO5" s="221">
        <v>2015</v>
      </c>
      <c r="AP5" s="223">
        <v>2016</v>
      </c>
      <c r="AQ5" s="255"/>
      <c r="AR5" s="233"/>
    </row>
    <row r="6" spans="1:44" ht="13.5" customHeight="1" thickBot="1">
      <c r="A6" s="233"/>
      <c r="B6" s="256"/>
      <c r="C6" s="236"/>
      <c r="D6" s="257">
        <f ca="1">IF(ISBLANK($D$5),-20,OFFSET($O6,0,$D$5-1989,1,1))</f>
        <v>0</v>
      </c>
      <c r="E6" s="258"/>
      <c r="F6" s="2009"/>
      <c r="G6" s="258"/>
      <c r="H6" s="2012">
        <f>IF(OR(ISBLANK($H$5),ISBLANK($J$5)),"　ヶ年平均",$J$5-$H$5+1)</f>
        <v>5</v>
      </c>
      <c r="I6" s="2013"/>
      <c r="J6" s="2014"/>
      <c r="K6" s="259"/>
      <c r="L6" s="260"/>
      <c r="M6" s="256"/>
      <c r="N6" s="261"/>
      <c r="O6" s="224" t="s">
        <v>17</v>
      </c>
      <c r="P6" s="224" t="s">
        <v>18</v>
      </c>
      <c r="Q6" s="224" t="s">
        <v>19</v>
      </c>
      <c r="R6" s="224" t="s">
        <v>20</v>
      </c>
      <c r="S6" s="224" t="s">
        <v>21</v>
      </c>
      <c r="T6" s="224" t="s">
        <v>22</v>
      </c>
      <c r="U6" s="224" t="s">
        <v>23</v>
      </c>
      <c r="V6" s="224" t="s">
        <v>24</v>
      </c>
      <c r="W6" s="224" t="s">
        <v>25</v>
      </c>
      <c r="X6" s="224" t="s">
        <v>26</v>
      </c>
      <c r="Y6" s="224" t="s">
        <v>27</v>
      </c>
      <c r="Z6" s="224" t="s">
        <v>73</v>
      </c>
      <c r="AA6" s="224" t="s">
        <v>62</v>
      </c>
      <c r="AB6" s="224" t="s">
        <v>63</v>
      </c>
      <c r="AC6" s="224" t="s">
        <v>64</v>
      </c>
      <c r="AD6" s="224" t="s">
        <v>65</v>
      </c>
      <c r="AE6" s="224" t="s">
        <v>66</v>
      </c>
      <c r="AF6" s="224" t="s">
        <v>67</v>
      </c>
      <c r="AG6" s="224" t="s">
        <v>68</v>
      </c>
      <c r="AH6" s="224" t="s">
        <v>69</v>
      </c>
      <c r="AI6" s="224" t="s">
        <v>70</v>
      </c>
      <c r="AJ6" s="225" t="s">
        <v>71</v>
      </c>
      <c r="AK6" s="224" t="s">
        <v>116</v>
      </c>
      <c r="AL6" s="228" t="s">
        <v>120</v>
      </c>
      <c r="AM6" s="224" t="s">
        <v>122</v>
      </c>
      <c r="AN6" s="224" t="s">
        <v>126</v>
      </c>
      <c r="AO6" s="224" t="s">
        <v>127</v>
      </c>
      <c r="AP6" s="224" t="s">
        <v>128</v>
      </c>
      <c r="AQ6" s="253"/>
      <c r="AR6" s="233"/>
    </row>
    <row r="7" spans="1:44" ht="13.5" customHeight="1">
      <c r="A7" s="233"/>
      <c r="B7" s="262"/>
      <c r="C7" s="263" t="s">
        <v>2</v>
      </c>
      <c r="D7" s="264"/>
      <c r="E7" s="265"/>
      <c r="F7" s="266"/>
      <c r="G7" s="267"/>
      <c r="H7" s="268"/>
      <c r="I7" s="269"/>
      <c r="J7" s="270"/>
      <c r="K7" s="271"/>
      <c r="L7" s="260"/>
      <c r="M7" s="238"/>
      <c r="N7" s="272" t="s">
        <v>2</v>
      </c>
      <c r="O7" s="273"/>
      <c r="P7" s="274"/>
      <c r="Q7" s="274"/>
      <c r="R7" s="274"/>
      <c r="S7" s="274"/>
      <c r="T7" s="274"/>
      <c r="U7" s="274"/>
      <c r="V7" s="274"/>
      <c r="W7" s="274"/>
      <c r="X7" s="274"/>
      <c r="Y7" s="274"/>
      <c r="Z7" s="274"/>
      <c r="AA7" s="274"/>
      <c r="AB7" s="274"/>
      <c r="AC7" s="274"/>
      <c r="AD7" s="274"/>
      <c r="AE7" s="274"/>
      <c r="AF7" s="274"/>
      <c r="AG7" s="274"/>
      <c r="AH7" s="274"/>
      <c r="AI7" s="274"/>
      <c r="AJ7" s="275"/>
      <c r="AK7" s="274"/>
      <c r="AL7" s="253"/>
      <c r="AM7" s="274"/>
      <c r="AN7" s="274"/>
      <c r="AO7" s="185"/>
      <c r="AP7" s="202"/>
      <c r="AQ7" s="197"/>
      <c r="AR7" s="233"/>
    </row>
    <row r="8" spans="1:44" ht="13.5" customHeight="1">
      <c r="A8" s="233"/>
      <c r="B8" s="262"/>
      <c r="C8" s="276" t="s">
        <v>3</v>
      </c>
      <c r="D8" s="277"/>
      <c r="E8" s="278"/>
      <c r="F8" s="279"/>
      <c r="G8" s="280"/>
      <c r="H8" s="281"/>
      <c r="I8" s="282"/>
      <c r="J8" s="283"/>
      <c r="K8" s="271"/>
      <c r="L8" s="260"/>
      <c r="M8" s="245"/>
      <c r="N8" s="284" t="s">
        <v>3</v>
      </c>
      <c r="O8" s="273"/>
      <c r="P8" s="274"/>
      <c r="Q8" s="274"/>
      <c r="R8" s="274"/>
      <c r="S8" s="274"/>
      <c r="T8" s="274"/>
      <c r="U8" s="274"/>
      <c r="V8" s="274"/>
      <c r="W8" s="274"/>
      <c r="X8" s="274"/>
      <c r="Y8" s="274"/>
      <c r="Z8" s="285"/>
      <c r="AA8" s="285"/>
      <c r="AB8" s="285"/>
      <c r="AC8" s="285"/>
      <c r="AD8" s="285"/>
      <c r="AE8" s="285"/>
      <c r="AF8" s="285"/>
      <c r="AG8" s="285"/>
      <c r="AH8" s="285"/>
      <c r="AI8" s="285"/>
      <c r="AJ8" s="276"/>
      <c r="AK8" s="285"/>
      <c r="AL8" s="279"/>
      <c r="AM8" s="285"/>
      <c r="AN8" s="285"/>
      <c r="AO8" s="186"/>
      <c r="AP8" s="199"/>
      <c r="AQ8" s="197"/>
      <c r="AR8" s="233"/>
    </row>
    <row r="9" spans="1:44" ht="13.5" customHeight="1">
      <c r="A9" s="233"/>
      <c r="B9" s="262" t="s">
        <v>141</v>
      </c>
      <c r="C9" s="276" t="s">
        <v>5</v>
      </c>
      <c r="D9" s="277"/>
      <c r="E9" s="278"/>
      <c r="F9" s="253"/>
      <c r="G9" s="280"/>
      <c r="H9" s="286"/>
      <c r="I9" s="260"/>
      <c r="J9" s="287"/>
      <c r="K9" s="271"/>
      <c r="L9" s="260"/>
      <c r="M9" s="288" t="s">
        <v>132</v>
      </c>
      <c r="N9" s="284" t="s">
        <v>5</v>
      </c>
      <c r="O9" s="273"/>
      <c r="P9" s="274"/>
      <c r="Q9" s="274"/>
      <c r="R9" s="274"/>
      <c r="S9" s="274"/>
      <c r="T9" s="274"/>
      <c r="U9" s="274"/>
      <c r="V9" s="274"/>
      <c r="W9" s="274"/>
      <c r="X9" s="274"/>
      <c r="Y9" s="274"/>
      <c r="Z9" s="274"/>
      <c r="AA9" s="274"/>
      <c r="AB9" s="274"/>
      <c r="AC9" s="274"/>
      <c r="AD9" s="274"/>
      <c r="AE9" s="274"/>
      <c r="AF9" s="274"/>
      <c r="AG9" s="274"/>
      <c r="AH9" s="274"/>
      <c r="AI9" s="274"/>
      <c r="AJ9" s="275"/>
      <c r="AK9" s="274"/>
      <c r="AL9" s="253"/>
      <c r="AM9" s="274"/>
      <c r="AN9" s="274"/>
      <c r="AO9" s="185"/>
      <c r="AP9" s="199"/>
      <c r="AQ9" s="197"/>
      <c r="AR9" s="233"/>
    </row>
    <row r="10" spans="1:44" ht="13.5" customHeight="1">
      <c r="A10" s="233"/>
      <c r="B10" s="262"/>
      <c r="C10" s="276" t="s">
        <v>6</v>
      </c>
      <c r="D10" s="277">
        <f t="shared" ref="D10:D15" ca="1" si="0">IF(ISBLANK($D$5),-20,OFFSET($O10,0,$D$5-1989,1,1))</f>
        <v>0</v>
      </c>
      <c r="E10" s="278"/>
      <c r="F10" s="279"/>
      <c r="G10" s="280"/>
      <c r="H10" s="281"/>
      <c r="I10" s="282"/>
      <c r="J10" s="283"/>
      <c r="K10" s="271"/>
      <c r="L10" s="260"/>
      <c r="M10" s="245"/>
      <c r="N10" s="284" t="s">
        <v>6</v>
      </c>
      <c r="O10" s="273"/>
      <c r="P10" s="274"/>
      <c r="Q10" s="274"/>
      <c r="R10" s="274"/>
      <c r="S10" s="274"/>
      <c r="T10" s="274"/>
      <c r="U10" s="274"/>
      <c r="V10" s="274"/>
      <c r="W10" s="274"/>
      <c r="X10" s="274"/>
      <c r="Y10" s="274"/>
      <c r="Z10" s="285"/>
      <c r="AA10" s="285"/>
      <c r="AB10" s="285"/>
      <c r="AC10" s="285"/>
      <c r="AD10" s="285"/>
      <c r="AE10" s="289"/>
      <c r="AF10" s="285"/>
      <c r="AG10" s="285"/>
      <c r="AH10" s="285"/>
      <c r="AI10" s="285"/>
      <c r="AJ10" s="276"/>
      <c r="AK10" s="285"/>
      <c r="AL10" s="279"/>
      <c r="AM10" s="285"/>
      <c r="AN10" s="285"/>
      <c r="AO10" s="187">
        <v>0</v>
      </c>
      <c r="AP10" s="200"/>
      <c r="AQ10" s="198"/>
      <c r="AR10" s="233"/>
    </row>
    <row r="11" spans="1:44" ht="13.5" customHeight="1">
      <c r="A11" s="233"/>
      <c r="B11" s="262"/>
      <c r="C11" s="276" t="s">
        <v>7</v>
      </c>
      <c r="D11" s="277">
        <f t="shared" ca="1" si="0"/>
        <v>0</v>
      </c>
      <c r="E11" s="278"/>
      <c r="F11" s="279"/>
      <c r="G11" s="280"/>
      <c r="H11" s="281"/>
      <c r="I11" s="282"/>
      <c r="J11" s="283"/>
      <c r="K11" s="271"/>
      <c r="L11" s="260"/>
      <c r="M11" s="245"/>
      <c r="N11" s="284" t="s">
        <v>7</v>
      </c>
      <c r="O11" s="273"/>
      <c r="P11" s="274"/>
      <c r="Q11" s="274"/>
      <c r="R11" s="274"/>
      <c r="S11" s="274"/>
      <c r="T11" s="274"/>
      <c r="U11" s="274"/>
      <c r="V11" s="274"/>
      <c r="W11" s="274"/>
      <c r="X11" s="274"/>
      <c r="Y11" s="274"/>
      <c r="Z11" s="285"/>
      <c r="AA11" s="285"/>
      <c r="AB11" s="285"/>
      <c r="AC11" s="285"/>
      <c r="AD11" s="285"/>
      <c r="AE11" s="285"/>
      <c r="AF11" s="285"/>
      <c r="AG11" s="285"/>
      <c r="AH11" s="285"/>
      <c r="AI11" s="285"/>
      <c r="AJ11" s="276"/>
      <c r="AK11" s="285"/>
      <c r="AL11" s="279"/>
      <c r="AM11" s="285"/>
      <c r="AN11" s="285"/>
      <c r="AO11" s="187">
        <v>0</v>
      </c>
      <c r="AP11" s="200">
        <v>0</v>
      </c>
      <c r="AQ11" s="198"/>
      <c r="AR11" s="233"/>
    </row>
    <row r="12" spans="1:44" ht="13.5" customHeight="1" thickBot="1">
      <c r="A12" s="233"/>
      <c r="B12" s="290"/>
      <c r="C12" s="225" t="s">
        <v>8</v>
      </c>
      <c r="D12" s="291">
        <f t="shared" ca="1" si="0"/>
        <v>0</v>
      </c>
      <c r="E12" s="292"/>
      <c r="F12" s="293"/>
      <c r="G12" s="294"/>
      <c r="H12" s="295"/>
      <c r="I12" s="296"/>
      <c r="J12" s="297"/>
      <c r="K12" s="271"/>
      <c r="L12" s="260"/>
      <c r="M12" s="256"/>
      <c r="N12" s="298" t="s">
        <v>8</v>
      </c>
      <c r="O12" s="273"/>
      <c r="P12" s="274"/>
      <c r="Q12" s="274"/>
      <c r="R12" s="274"/>
      <c r="S12" s="274"/>
      <c r="T12" s="274"/>
      <c r="U12" s="274"/>
      <c r="V12" s="274"/>
      <c r="W12" s="274"/>
      <c r="X12" s="274"/>
      <c r="Y12" s="274"/>
      <c r="Z12" s="274"/>
      <c r="AA12" s="274"/>
      <c r="AB12" s="274"/>
      <c r="AC12" s="274"/>
      <c r="AD12" s="274"/>
      <c r="AE12" s="274"/>
      <c r="AF12" s="274"/>
      <c r="AG12" s="274"/>
      <c r="AH12" s="274"/>
      <c r="AI12" s="274"/>
      <c r="AJ12" s="275"/>
      <c r="AK12" s="274"/>
      <c r="AL12" s="253"/>
      <c r="AM12" s="274"/>
      <c r="AN12" s="274"/>
      <c r="AO12" s="188">
        <v>0</v>
      </c>
      <c r="AP12" s="201">
        <v>0</v>
      </c>
      <c r="AQ12" s="198"/>
      <c r="AR12" s="233"/>
    </row>
    <row r="13" spans="1:44" ht="13.5" customHeight="1">
      <c r="A13" s="233"/>
      <c r="B13" s="262"/>
      <c r="C13" s="299" t="s">
        <v>2</v>
      </c>
      <c r="D13" s="300">
        <f t="shared" ca="1" si="0"/>
        <v>0</v>
      </c>
      <c r="E13" s="301"/>
      <c r="F13" s="302">
        <f t="shared" ref="F13:F60" ca="1" si="1">AVERAGE(OFFSET($O13,0,$L$2-1990,1,-10))</f>
        <v>0.4</v>
      </c>
      <c r="G13" s="303"/>
      <c r="H13" s="304"/>
      <c r="I13" s="305"/>
      <c r="J13" s="306">
        <f t="shared" ref="J13:J60" ca="1" si="2">IF(OR(ISBLANK($H$5),ISBLANK($J$5)),-20,AVERAGE(OFFSET($O13,0,$H$5-1989,1,$J$5-$H$5+1)))</f>
        <v>0.8</v>
      </c>
      <c r="K13" s="307"/>
      <c r="L13" s="308"/>
      <c r="M13" s="219"/>
      <c r="N13" s="272" t="s">
        <v>2</v>
      </c>
      <c r="O13" s="309">
        <v>0</v>
      </c>
      <c r="P13" s="309">
        <v>1</v>
      </c>
      <c r="Q13" s="309">
        <v>0</v>
      </c>
      <c r="R13" s="309">
        <v>0</v>
      </c>
      <c r="S13" s="309">
        <v>0</v>
      </c>
      <c r="T13" s="309">
        <v>0</v>
      </c>
      <c r="U13" s="309">
        <v>0</v>
      </c>
      <c r="V13" s="309">
        <v>0</v>
      </c>
      <c r="W13" s="309">
        <v>1</v>
      </c>
      <c r="X13" s="309">
        <v>0</v>
      </c>
      <c r="Y13" s="309">
        <v>0</v>
      </c>
      <c r="Z13" s="309">
        <v>0</v>
      </c>
      <c r="AA13" s="309">
        <v>0</v>
      </c>
      <c r="AB13" s="309">
        <v>0</v>
      </c>
      <c r="AC13" s="309">
        <v>1</v>
      </c>
      <c r="AD13" s="310">
        <v>0</v>
      </c>
      <c r="AE13" s="310">
        <v>0</v>
      </c>
      <c r="AF13" s="310">
        <v>0</v>
      </c>
      <c r="AG13" s="310">
        <v>0</v>
      </c>
      <c r="AH13" s="310">
        <v>0</v>
      </c>
      <c r="AI13" s="310">
        <v>0</v>
      </c>
      <c r="AJ13" s="311">
        <v>0</v>
      </c>
      <c r="AK13" s="310">
        <v>0</v>
      </c>
      <c r="AL13" s="312">
        <v>0</v>
      </c>
      <c r="AM13" s="310">
        <v>3</v>
      </c>
      <c r="AN13" s="310">
        <v>1</v>
      </c>
      <c r="AO13" s="311">
        <v>0</v>
      </c>
      <c r="AP13" s="313">
        <v>0</v>
      </c>
      <c r="AQ13" s="314"/>
      <c r="AR13" s="233"/>
    </row>
    <row r="14" spans="1:44" ht="13.5" customHeight="1">
      <c r="A14" s="233"/>
      <c r="B14" s="262"/>
      <c r="C14" s="276" t="s">
        <v>3</v>
      </c>
      <c r="D14" s="300">
        <f t="shared" ca="1" si="0"/>
        <v>0</v>
      </c>
      <c r="E14" s="301"/>
      <c r="F14" s="302">
        <f t="shared" ca="1" si="1"/>
        <v>0.18</v>
      </c>
      <c r="G14" s="315"/>
      <c r="H14" s="316"/>
      <c r="I14" s="317"/>
      <c r="J14" s="318">
        <f t="shared" ca="1" si="2"/>
        <v>0.16</v>
      </c>
      <c r="K14" s="319"/>
      <c r="L14" s="320"/>
      <c r="M14" s="288"/>
      <c r="N14" s="284" t="s">
        <v>3</v>
      </c>
      <c r="O14" s="321">
        <v>0</v>
      </c>
      <c r="P14" s="321">
        <v>0</v>
      </c>
      <c r="Q14" s="321">
        <v>0</v>
      </c>
      <c r="R14" s="321">
        <v>1</v>
      </c>
      <c r="S14" s="321">
        <v>0</v>
      </c>
      <c r="T14" s="321">
        <v>0</v>
      </c>
      <c r="U14" s="321">
        <v>1</v>
      </c>
      <c r="V14" s="321">
        <v>0</v>
      </c>
      <c r="W14" s="321">
        <v>3</v>
      </c>
      <c r="X14" s="321">
        <v>0</v>
      </c>
      <c r="Y14" s="321">
        <v>0</v>
      </c>
      <c r="Z14" s="321">
        <v>0</v>
      </c>
      <c r="AA14" s="321">
        <v>1</v>
      </c>
      <c r="AB14" s="321">
        <v>0</v>
      </c>
      <c r="AC14" s="321">
        <v>0</v>
      </c>
      <c r="AD14" s="322">
        <v>0</v>
      </c>
      <c r="AE14" s="322">
        <v>0</v>
      </c>
      <c r="AF14" s="322">
        <v>0</v>
      </c>
      <c r="AG14" s="322">
        <v>0</v>
      </c>
      <c r="AH14" s="322">
        <v>0</v>
      </c>
      <c r="AI14" s="322">
        <v>1</v>
      </c>
      <c r="AJ14" s="323">
        <v>0</v>
      </c>
      <c r="AK14" s="322">
        <v>0</v>
      </c>
      <c r="AL14" s="324">
        <v>0</v>
      </c>
      <c r="AM14" s="322">
        <v>0</v>
      </c>
      <c r="AN14" s="322">
        <v>0</v>
      </c>
      <c r="AO14" s="323">
        <v>0</v>
      </c>
      <c r="AP14" s="325">
        <v>0.8</v>
      </c>
      <c r="AQ14" s="314"/>
      <c r="AR14" s="233"/>
    </row>
    <row r="15" spans="1:44" ht="13.5" customHeight="1">
      <c r="A15" s="233"/>
      <c r="B15" s="262" t="s">
        <v>142</v>
      </c>
      <c r="C15" s="276" t="s">
        <v>5</v>
      </c>
      <c r="D15" s="300">
        <f t="shared" ca="1" si="0"/>
        <v>0</v>
      </c>
      <c r="E15" s="301"/>
      <c r="F15" s="302">
        <f t="shared" ca="1" si="1"/>
        <v>0.3</v>
      </c>
      <c r="G15" s="315"/>
      <c r="H15" s="316"/>
      <c r="I15" s="317"/>
      <c r="J15" s="318">
        <f t="shared" ca="1" si="2"/>
        <v>0.2</v>
      </c>
      <c r="K15" s="319"/>
      <c r="L15" s="320"/>
      <c r="M15" s="288" t="s">
        <v>4</v>
      </c>
      <c r="N15" s="284" t="s">
        <v>5</v>
      </c>
      <c r="O15" s="321">
        <v>0</v>
      </c>
      <c r="P15" s="321">
        <v>0</v>
      </c>
      <c r="Q15" s="321">
        <v>0</v>
      </c>
      <c r="R15" s="321">
        <v>0</v>
      </c>
      <c r="S15" s="321">
        <v>0</v>
      </c>
      <c r="T15" s="321">
        <v>0</v>
      </c>
      <c r="U15" s="321">
        <v>0</v>
      </c>
      <c r="V15" s="321">
        <v>0</v>
      </c>
      <c r="W15" s="321">
        <v>1</v>
      </c>
      <c r="X15" s="321">
        <v>0</v>
      </c>
      <c r="Y15" s="321">
        <v>0</v>
      </c>
      <c r="Z15" s="321">
        <v>0</v>
      </c>
      <c r="AA15" s="321">
        <v>0</v>
      </c>
      <c r="AB15" s="321">
        <v>0</v>
      </c>
      <c r="AC15" s="321">
        <v>0</v>
      </c>
      <c r="AD15" s="322">
        <v>0</v>
      </c>
      <c r="AE15" s="322">
        <v>0</v>
      </c>
      <c r="AF15" s="322">
        <v>0</v>
      </c>
      <c r="AG15" s="322">
        <v>0</v>
      </c>
      <c r="AH15" s="322">
        <v>0</v>
      </c>
      <c r="AI15" s="322">
        <v>1</v>
      </c>
      <c r="AJ15" s="323">
        <v>0</v>
      </c>
      <c r="AK15" s="322">
        <v>1</v>
      </c>
      <c r="AL15" s="324">
        <v>0</v>
      </c>
      <c r="AM15" s="322">
        <v>0</v>
      </c>
      <c r="AN15" s="322">
        <v>0</v>
      </c>
      <c r="AO15" s="323">
        <v>0</v>
      </c>
      <c r="AP15" s="325">
        <v>1</v>
      </c>
      <c r="AQ15" s="314"/>
      <c r="AR15" s="233"/>
    </row>
    <row r="16" spans="1:44" ht="13.5" customHeight="1">
      <c r="A16" s="233"/>
      <c r="B16" s="262"/>
      <c r="C16" s="276" t="s">
        <v>6</v>
      </c>
      <c r="D16" s="300">
        <f t="shared" ref="D16:D60" ca="1" si="3">IF(ISBLANK($D$5),-20,OFFSET($O16,0,$D$5-1989,1,1))</f>
        <v>0</v>
      </c>
      <c r="E16" s="301"/>
      <c r="F16" s="302">
        <f t="shared" ca="1" si="1"/>
        <v>0.6</v>
      </c>
      <c r="G16" s="315"/>
      <c r="H16" s="316"/>
      <c r="I16" s="317"/>
      <c r="J16" s="318">
        <f t="shared" ca="1" si="2"/>
        <v>0.8</v>
      </c>
      <c r="K16" s="319"/>
      <c r="L16" s="320"/>
      <c r="M16" s="288"/>
      <c r="N16" s="284" t="s">
        <v>6</v>
      </c>
      <c r="O16" s="321">
        <v>0</v>
      </c>
      <c r="P16" s="321">
        <v>0</v>
      </c>
      <c r="Q16" s="321">
        <v>0</v>
      </c>
      <c r="R16" s="321">
        <v>0</v>
      </c>
      <c r="S16" s="321">
        <v>1</v>
      </c>
      <c r="T16" s="321">
        <v>0</v>
      </c>
      <c r="U16" s="321">
        <v>0</v>
      </c>
      <c r="V16" s="321">
        <v>0</v>
      </c>
      <c r="W16" s="321">
        <v>0</v>
      </c>
      <c r="X16" s="321">
        <v>0</v>
      </c>
      <c r="Y16" s="321">
        <v>1</v>
      </c>
      <c r="Z16" s="321">
        <v>0</v>
      </c>
      <c r="AA16" s="321">
        <v>1</v>
      </c>
      <c r="AB16" s="321">
        <v>0</v>
      </c>
      <c r="AC16" s="321">
        <v>1</v>
      </c>
      <c r="AD16" s="326">
        <v>0</v>
      </c>
      <c r="AE16" s="326">
        <v>0</v>
      </c>
      <c r="AF16" s="326">
        <v>1</v>
      </c>
      <c r="AG16" s="326">
        <v>0</v>
      </c>
      <c r="AH16" s="326">
        <v>0</v>
      </c>
      <c r="AI16" s="326">
        <v>2</v>
      </c>
      <c r="AJ16" s="327">
        <v>0</v>
      </c>
      <c r="AK16" s="326">
        <v>0</v>
      </c>
      <c r="AL16" s="328">
        <v>1</v>
      </c>
      <c r="AM16" s="326">
        <v>0</v>
      </c>
      <c r="AN16" s="326">
        <v>2</v>
      </c>
      <c r="AO16" s="327">
        <v>1</v>
      </c>
      <c r="AP16" s="325">
        <v>0</v>
      </c>
      <c r="AQ16" s="314"/>
      <c r="AR16" s="233"/>
    </row>
    <row r="17" spans="1:44" ht="13.5" customHeight="1">
      <c r="A17" s="233"/>
      <c r="B17" s="262"/>
      <c r="C17" s="276" t="s">
        <v>7</v>
      </c>
      <c r="D17" s="300">
        <f t="shared" ca="1" si="3"/>
        <v>0</v>
      </c>
      <c r="E17" s="301"/>
      <c r="F17" s="302">
        <f t="shared" ca="1" si="1"/>
        <v>0.3</v>
      </c>
      <c r="G17" s="315"/>
      <c r="H17" s="316"/>
      <c r="I17" s="317"/>
      <c r="J17" s="318">
        <f t="shared" ca="1" si="2"/>
        <v>0</v>
      </c>
      <c r="K17" s="319"/>
      <c r="L17" s="320"/>
      <c r="M17" s="288"/>
      <c r="N17" s="284" t="s">
        <v>7</v>
      </c>
      <c r="O17" s="321">
        <v>1</v>
      </c>
      <c r="P17" s="321">
        <v>0</v>
      </c>
      <c r="Q17" s="321">
        <v>0</v>
      </c>
      <c r="R17" s="321">
        <v>1</v>
      </c>
      <c r="S17" s="321">
        <v>1</v>
      </c>
      <c r="T17" s="321">
        <v>1</v>
      </c>
      <c r="U17" s="321">
        <v>1</v>
      </c>
      <c r="V17" s="321">
        <v>0</v>
      </c>
      <c r="W17" s="321">
        <v>1</v>
      </c>
      <c r="X17" s="321">
        <v>0</v>
      </c>
      <c r="Y17" s="321">
        <v>0</v>
      </c>
      <c r="Z17" s="321">
        <v>0</v>
      </c>
      <c r="AA17" s="321">
        <v>0</v>
      </c>
      <c r="AB17" s="321">
        <v>0</v>
      </c>
      <c r="AC17" s="321">
        <v>0</v>
      </c>
      <c r="AD17" s="322">
        <v>0</v>
      </c>
      <c r="AE17" s="322">
        <v>0</v>
      </c>
      <c r="AF17" s="322">
        <v>0</v>
      </c>
      <c r="AG17" s="322">
        <v>0</v>
      </c>
      <c r="AH17" s="322">
        <v>2</v>
      </c>
      <c r="AI17" s="322">
        <v>1</v>
      </c>
      <c r="AJ17" s="323">
        <v>0</v>
      </c>
      <c r="AK17" s="322">
        <v>0</v>
      </c>
      <c r="AL17" s="324">
        <v>0</v>
      </c>
      <c r="AM17" s="322">
        <v>0</v>
      </c>
      <c r="AN17" s="322">
        <v>0</v>
      </c>
      <c r="AO17" s="323">
        <v>0</v>
      </c>
      <c r="AP17" s="325">
        <v>0</v>
      </c>
      <c r="AQ17" s="314"/>
      <c r="AR17" s="233"/>
    </row>
    <row r="18" spans="1:44" ht="13.5" customHeight="1" thickBot="1">
      <c r="A18" s="233"/>
      <c r="B18" s="290"/>
      <c r="C18" s="225" t="s">
        <v>8</v>
      </c>
      <c r="D18" s="329">
        <f t="shared" ca="1" si="3"/>
        <v>0</v>
      </c>
      <c r="E18" s="330"/>
      <c r="F18" s="331">
        <f t="shared" ca="1" si="1"/>
        <v>0.4</v>
      </c>
      <c r="G18" s="332"/>
      <c r="H18" s="333"/>
      <c r="I18" s="334"/>
      <c r="J18" s="335">
        <f t="shared" ca="1" si="2"/>
        <v>0</v>
      </c>
      <c r="K18" s="336"/>
      <c r="L18" s="320"/>
      <c r="M18" s="337"/>
      <c r="N18" s="298" t="s">
        <v>8</v>
      </c>
      <c r="O18" s="338">
        <v>0</v>
      </c>
      <c r="P18" s="338">
        <v>2</v>
      </c>
      <c r="Q18" s="338">
        <v>0</v>
      </c>
      <c r="R18" s="338">
        <v>0</v>
      </c>
      <c r="S18" s="338">
        <v>2</v>
      </c>
      <c r="T18" s="338">
        <v>0</v>
      </c>
      <c r="U18" s="338">
        <v>2</v>
      </c>
      <c r="V18" s="338">
        <v>1</v>
      </c>
      <c r="W18" s="338">
        <v>0</v>
      </c>
      <c r="X18" s="338">
        <v>0</v>
      </c>
      <c r="Y18" s="338">
        <v>0</v>
      </c>
      <c r="Z18" s="338">
        <v>0</v>
      </c>
      <c r="AA18" s="338">
        <v>0</v>
      </c>
      <c r="AB18" s="338">
        <v>0</v>
      </c>
      <c r="AC18" s="338">
        <v>2</v>
      </c>
      <c r="AD18" s="339">
        <v>0</v>
      </c>
      <c r="AE18" s="339">
        <v>0</v>
      </c>
      <c r="AF18" s="339">
        <v>1</v>
      </c>
      <c r="AG18" s="339">
        <v>0</v>
      </c>
      <c r="AH18" s="339">
        <v>2</v>
      </c>
      <c r="AI18" s="339">
        <v>2</v>
      </c>
      <c r="AJ18" s="340">
        <v>0</v>
      </c>
      <c r="AK18" s="339">
        <v>0</v>
      </c>
      <c r="AL18" s="341">
        <v>0</v>
      </c>
      <c r="AM18" s="339">
        <v>0</v>
      </c>
      <c r="AN18" s="339">
        <v>0</v>
      </c>
      <c r="AO18" s="340">
        <v>0</v>
      </c>
      <c r="AP18" s="342">
        <v>0</v>
      </c>
      <c r="AQ18" s="314"/>
      <c r="AR18" s="233"/>
    </row>
    <row r="19" spans="1:44" ht="13.5" customHeight="1">
      <c r="A19" s="233"/>
      <c r="B19" s="343"/>
      <c r="C19" s="299" t="s">
        <v>2</v>
      </c>
      <c r="D19" s="300">
        <f t="shared" ca="1" si="3"/>
        <v>0</v>
      </c>
      <c r="E19" s="301"/>
      <c r="F19" s="302">
        <f t="shared" ca="1" si="1"/>
        <v>0.5</v>
      </c>
      <c r="G19" s="315"/>
      <c r="H19" s="344"/>
      <c r="I19" s="345"/>
      <c r="J19" s="346">
        <f t="shared" ca="1" si="2"/>
        <v>0</v>
      </c>
      <c r="K19" s="319"/>
      <c r="L19" s="320"/>
      <c r="M19" s="219"/>
      <c r="N19" s="347" t="s">
        <v>2</v>
      </c>
      <c r="O19" s="348">
        <v>0</v>
      </c>
      <c r="P19" s="348">
        <v>0</v>
      </c>
      <c r="Q19" s="348">
        <v>0</v>
      </c>
      <c r="R19" s="348">
        <v>0</v>
      </c>
      <c r="S19" s="348">
        <v>2</v>
      </c>
      <c r="T19" s="348">
        <v>1</v>
      </c>
      <c r="U19" s="348">
        <v>2</v>
      </c>
      <c r="V19" s="348">
        <v>0</v>
      </c>
      <c r="W19" s="348">
        <v>0</v>
      </c>
      <c r="X19" s="348">
        <v>4</v>
      </c>
      <c r="Y19" s="348">
        <v>0</v>
      </c>
      <c r="Z19" s="348">
        <v>0</v>
      </c>
      <c r="AA19" s="348">
        <v>0</v>
      </c>
      <c r="AB19" s="348">
        <v>0</v>
      </c>
      <c r="AC19" s="348">
        <v>0</v>
      </c>
      <c r="AD19" s="349">
        <v>0</v>
      </c>
      <c r="AE19" s="349">
        <v>0</v>
      </c>
      <c r="AF19" s="349">
        <v>0</v>
      </c>
      <c r="AG19" s="349">
        <v>1</v>
      </c>
      <c r="AH19" s="349">
        <v>1</v>
      </c>
      <c r="AI19" s="349">
        <v>3</v>
      </c>
      <c r="AJ19" s="350">
        <v>0</v>
      </c>
      <c r="AK19" s="349">
        <v>0</v>
      </c>
      <c r="AL19" s="351">
        <v>0</v>
      </c>
      <c r="AM19" s="349">
        <v>0</v>
      </c>
      <c r="AN19" s="349">
        <v>0</v>
      </c>
      <c r="AO19" s="350">
        <v>0</v>
      </c>
      <c r="AP19" s="313">
        <v>0</v>
      </c>
      <c r="AQ19" s="314"/>
      <c r="AR19" s="233"/>
    </row>
    <row r="20" spans="1:44" ht="13.5" customHeight="1">
      <c r="A20" s="233"/>
      <c r="B20" s="262"/>
      <c r="C20" s="276" t="s">
        <v>3</v>
      </c>
      <c r="D20" s="300">
        <f t="shared" ca="1" si="3"/>
        <v>0</v>
      </c>
      <c r="E20" s="301"/>
      <c r="F20" s="302">
        <f t="shared" ca="1" si="1"/>
        <v>1</v>
      </c>
      <c r="G20" s="315"/>
      <c r="H20" s="316"/>
      <c r="I20" s="317"/>
      <c r="J20" s="318">
        <f t="shared" ca="1" si="2"/>
        <v>0.6</v>
      </c>
      <c r="K20" s="319"/>
      <c r="L20" s="320"/>
      <c r="M20" s="288"/>
      <c r="N20" s="284" t="s">
        <v>3</v>
      </c>
      <c r="O20" s="321">
        <v>0</v>
      </c>
      <c r="P20" s="321">
        <v>0</v>
      </c>
      <c r="Q20" s="321">
        <v>0</v>
      </c>
      <c r="R20" s="321">
        <v>0</v>
      </c>
      <c r="S20" s="321">
        <v>2</v>
      </c>
      <c r="T20" s="321">
        <v>0</v>
      </c>
      <c r="U20" s="321">
        <v>1</v>
      </c>
      <c r="V20" s="321">
        <v>0</v>
      </c>
      <c r="W20" s="321">
        <v>0</v>
      </c>
      <c r="X20" s="321">
        <v>10</v>
      </c>
      <c r="Y20" s="321">
        <v>0</v>
      </c>
      <c r="Z20" s="321">
        <v>0</v>
      </c>
      <c r="AA20" s="321">
        <v>0</v>
      </c>
      <c r="AB20" s="321">
        <v>2</v>
      </c>
      <c r="AC20" s="321">
        <v>0</v>
      </c>
      <c r="AD20" s="322">
        <v>0</v>
      </c>
      <c r="AE20" s="322">
        <v>0</v>
      </c>
      <c r="AF20" s="322">
        <v>1</v>
      </c>
      <c r="AG20" s="322">
        <v>1</v>
      </c>
      <c r="AH20" s="322">
        <v>2</v>
      </c>
      <c r="AI20" s="322">
        <v>2</v>
      </c>
      <c r="AJ20" s="323">
        <v>0</v>
      </c>
      <c r="AK20" s="322">
        <v>2</v>
      </c>
      <c r="AL20" s="324">
        <v>0</v>
      </c>
      <c r="AM20" s="322">
        <v>0</v>
      </c>
      <c r="AN20" s="322">
        <v>0</v>
      </c>
      <c r="AO20" s="323">
        <v>0</v>
      </c>
      <c r="AP20" s="325">
        <v>3</v>
      </c>
      <c r="AQ20" s="314"/>
      <c r="AR20" s="233"/>
    </row>
    <row r="21" spans="1:44" ht="13.5" customHeight="1">
      <c r="A21" s="233"/>
      <c r="B21" s="262" t="s">
        <v>143</v>
      </c>
      <c r="C21" s="276" t="s">
        <v>5</v>
      </c>
      <c r="D21" s="300">
        <f t="shared" ca="1" si="3"/>
        <v>0</v>
      </c>
      <c r="E21" s="301"/>
      <c r="F21" s="302">
        <f t="shared" ca="1" si="1"/>
        <v>0.8</v>
      </c>
      <c r="G21" s="315"/>
      <c r="H21" s="316"/>
      <c r="I21" s="317"/>
      <c r="J21" s="318">
        <f t="shared" ca="1" si="2"/>
        <v>0.2</v>
      </c>
      <c r="K21" s="319"/>
      <c r="L21" s="320"/>
      <c r="M21" s="288" t="s">
        <v>72</v>
      </c>
      <c r="N21" s="284" t="s">
        <v>5</v>
      </c>
      <c r="O21" s="321">
        <v>3</v>
      </c>
      <c r="P21" s="321">
        <v>5</v>
      </c>
      <c r="Q21" s="321">
        <v>0</v>
      </c>
      <c r="R21" s="321">
        <v>0</v>
      </c>
      <c r="S21" s="321">
        <v>1</v>
      </c>
      <c r="T21" s="321">
        <v>0</v>
      </c>
      <c r="U21" s="321">
        <v>1</v>
      </c>
      <c r="V21" s="321">
        <v>0</v>
      </c>
      <c r="W21" s="321">
        <v>1</v>
      </c>
      <c r="X21" s="321">
        <v>13</v>
      </c>
      <c r="Y21" s="321">
        <v>0</v>
      </c>
      <c r="Z21" s="321">
        <v>4</v>
      </c>
      <c r="AA21" s="321">
        <v>2</v>
      </c>
      <c r="AB21" s="321">
        <v>5</v>
      </c>
      <c r="AC21" s="321">
        <v>2</v>
      </c>
      <c r="AD21" s="322">
        <v>0</v>
      </c>
      <c r="AE21" s="322">
        <v>1</v>
      </c>
      <c r="AF21" s="322">
        <v>0</v>
      </c>
      <c r="AG21" s="322">
        <v>1</v>
      </c>
      <c r="AH21" s="322">
        <v>3</v>
      </c>
      <c r="AI21" s="322">
        <v>3</v>
      </c>
      <c r="AJ21" s="323">
        <v>0</v>
      </c>
      <c r="AK21" s="322">
        <v>0</v>
      </c>
      <c r="AL21" s="324">
        <v>0</v>
      </c>
      <c r="AM21" s="322">
        <v>0</v>
      </c>
      <c r="AN21" s="322">
        <v>0</v>
      </c>
      <c r="AO21" s="323">
        <v>0</v>
      </c>
      <c r="AP21" s="325">
        <v>1</v>
      </c>
      <c r="AQ21" s="314"/>
      <c r="AR21" s="233"/>
    </row>
    <row r="22" spans="1:44" ht="13.5" customHeight="1">
      <c r="A22" s="233"/>
      <c r="B22" s="262"/>
      <c r="C22" s="276" t="s">
        <v>6</v>
      </c>
      <c r="D22" s="300">
        <f t="shared" ca="1" si="3"/>
        <v>0</v>
      </c>
      <c r="E22" s="301"/>
      <c r="F22" s="302">
        <f t="shared" ca="1" si="1"/>
        <v>2.35</v>
      </c>
      <c r="G22" s="315"/>
      <c r="H22" s="316"/>
      <c r="I22" s="317"/>
      <c r="J22" s="318">
        <f t="shared" ca="1" si="2"/>
        <v>2.2999999999999998</v>
      </c>
      <c r="K22" s="319"/>
      <c r="L22" s="320"/>
      <c r="M22" s="288"/>
      <c r="N22" s="284" t="s">
        <v>6</v>
      </c>
      <c r="O22" s="321">
        <v>4</v>
      </c>
      <c r="P22" s="321">
        <v>1</v>
      </c>
      <c r="Q22" s="321">
        <v>0</v>
      </c>
      <c r="R22" s="321">
        <v>2</v>
      </c>
      <c r="S22" s="321">
        <v>0</v>
      </c>
      <c r="T22" s="321">
        <v>2</v>
      </c>
      <c r="U22" s="321">
        <v>1</v>
      </c>
      <c r="V22" s="321">
        <v>2</v>
      </c>
      <c r="W22" s="321">
        <v>3</v>
      </c>
      <c r="X22" s="321">
        <v>6</v>
      </c>
      <c r="Y22" s="321">
        <v>2</v>
      </c>
      <c r="Z22" s="321">
        <v>0</v>
      </c>
      <c r="AA22" s="321">
        <v>2</v>
      </c>
      <c r="AB22" s="321">
        <v>5</v>
      </c>
      <c r="AC22" s="321">
        <v>2</v>
      </c>
      <c r="AD22" s="322">
        <v>0</v>
      </c>
      <c r="AE22" s="322">
        <v>0</v>
      </c>
      <c r="AF22" s="322">
        <v>0</v>
      </c>
      <c r="AG22" s="322">
        <v>1</v>
      </c>
      <c r="AH22" s="322">
        <v>8</v>
      </c>
      <c r="AI22" s="322">
        <v>2</v>
      </c>
      <c r="AJ22" s="323">
        <v>0</v>
      </c>
      <c r="AK22" s="322">
        <v>1</v>
      </c>
      <c r="AL22" s="324">
        <v>0</v>
      </c>
      <c r="AM22" s="322">
        <v>2</v>
      </c>
      <c r="AN22" s="322">
        <v>1</v>
      </c>
      <c r="AO22" s="323">
        <v>3</v>
      </c>
      <c r="AP22" s="325">
        <v>5.5</v>
      </c>
      <c r="AQ22" s="314"/>
      <c r="AR22" s="233"/>
    </row>
    <row r="23" spans="1:44" ht="13.5" customHeight="1">
      <c r="A23" s="233"/>
      <c r="B23" s="262"/>
      <c r="C23" s="276" t="s">
        <v>7</v>
      </c>
      <c r="D23" s="300">
        <f t="shared" ca="1" si="3"/>
        <v>0</v>
      </c>
      <c r="E23" s="301"/>
      <c r="F23" s="302">
        <f t="shared" ca="1" si="1"/>
        <v>2.5970000000000004</v>
      </c>
      <c r="G23" s="315"/>
      <c r="H23" s="316"/>
      <c r="I23" s="317"/>
      <c r="J23" s="318">
        <f t="shared" ca="1" si="2"/>
        <v>1.5939999999999999</v>
      </c>
      <c r="K23" s="319"/>
      <c r="L23" s="320"/>
      <c r="M23" s="288"/>
      <c r="N23" s="284" t="s">
        <v>7</v>
      </c>
      <c r="O23" s="321">
        <v>29</v>
      </c>
      <c r="P23" s="321">
        <v>0</v>
      </c>
      <c r="Q23" s="321">
        <v>10</v>
      </c>
      <c r="R23" s="321">
        <v>10</v>
      </c>
      <c r="S23" s="321">
        <v>3</v>
      </c>
      <c r="T23" s="321">
        <v>11</v>
      </c>
      <c r="U23" s="321">
        <v>1</v>
      </c>
      <c r="V23" s="321">
        <v>0</v>
      </c>
      <c r="W23" s="321">
        <v>4</v>
      </c>
      <c r="X23" s="321">
        <v>3</v>
      </c>
      <c r="Y23" s="321">
        <v>4</v>
      </c>
      <c r="Z23" s="321">
        <v>0</v>
      </c>
      <c r="AA23" s="321">
        <v>5</v>
      </c>
      <c r="AB23" s="321">
        <v>3</v>
      </c>
      <c r="AC23" s="321">
        <v>0</v>
      </c>
      <c r="AD23" s="322">
        <v>2</v>
      </c>
      <c r="AE23" s="322">
        <v>1</v>
      </c>
      <c r="AF23" s="322">
        <v>3</v>
      </c>
      <c r="AG23" s="322">
        <v>1</v>
      </c>
      <c r="AH23" s="322">
        <v>9</v>
      </c>
      <c r="AI23" s="322">
        <v>5</v>
      </c>
      <c r="AJ23" s="323">
        <v>0</v>
      </c>
      <c r="AK23" s="322">
        <v>3</v>
      </c>
      <c r="AL23" s="324">
        <v>0</v>
      </c>
      <c r="AM23" s="322">
        <v>2</v>
      </c>
      <c r="AN23" s="322">
        <v>1</v>
      </c>
      <c r="AO23" s="323">
        <v>1.67</v>
      </c>
      <c r="AP23" s="325">
        <v>3.3</v>
      </c>
      <c r="AQ23" s="314"/>
      <c r="AR23" s="233"/>
    </row>
    <row r="24" spans="1:44" ht="13.5" customHeight="1" thickBot="1">
      <c r="A24" s="233"/>
      <c r="B24" s="290"/>
      <c r="C24" s="352" t="s">
        <v>8</v>
      </c>
      <c r="D24" s="329">
        <f t="shared" ca="1" si="3"/>
        <v>0</v>
      </c>
      <c r="E24" s="330"/>
      <c r="F24" s="331">
        <f t="shared" ca="1" si="1"/>
        <v>2.0593333333333335</v>
      </c>
      <c r="G24" s="332"/>
      <c r="H24" s="333"/>
      <c r="I24" s="334"/>
      <c r="J24" s="335">
        <f t="shared" ca="1" si="2"/>
        <v>1.518</v>
      </c>
      <c r="K24" s="336"/>
      <c r="L24" s="320"/>
      <c r="M24" s="337"/>
      <c r="N24" s="353" t="s">
        <v>8</v>
      </c>
      <c r="O24" s="354">
        <v>19</v>
      </c>
      <c r="P24" s="354">
        <v>1</v>
      </c>
      <c r="Q24" s="354">
        <v>4</v>
      </c>
      <c r="R24" s="354">
        <v>4</v>
      </c>
      <c r="S24" s="354">
        <v>4</v>
      </c>
      <c r="T24" s="354">
        <v>19</v>
      </c>
      <c r="U24" s="354">
        <v>1</v>
      </c>
      <c r="V24" s="354">
        <v>5</v>
      </c>
      <c r="W24" s="354">
        <v>4</v>
      </c>
      <c r="X24" s="354">
        <v>1</v>
      </c>
      <c r="Y24" s="354">
        <v>7</v>
      </c>
      <c r="Z24" s="354">
        <v>3</v>
      </c>
      <c r="AA24" s="355">
        <v>7</v>
      </c>
      <c r="AB24" s="355">
        <v>3</v>
      </c>
      <c r="AC24" s="355">
        <v>1</v>
      </c>
      <c r="AD24" s="356">
        <v>3</v>
      </c>
      <c r="AE24" s="356">
        <v>1</v>
      </c>
      <c r="AF24" s="356">
        <v>3</v>
      </c>
      <c r="AG24" s="356">
        <v>2</v>
      </c>
      <c r="AH24" s="356">
        <v>5</v>
      </c>
      <c r="AI24" s="356">
        <v>4.17</v>
      </c>
      <c r="AJ24" s="357">
        <f>1*(5/6)</f>
        <v>0.83333333333333337</v>
      </c>
      <c r="AK24" s="356">
        <v>1</v>
      </c>
      <c r="AL24" s="314">
        <v>1</v>
      </c>
      <c r="AM24" s="358">
        <v>4.99</v>
      </c>
      <c r="AN24" s="356">
        <v>1</v>
      </c>
      <c r="AO24" s="359">
        <v>0.3</v>
      </c>
      <c r="AP24" s="360">
        <v>0.3</v>
      </c>
      <c r="AQ24" s="361"/>
      <c r="AR24" s="233"/>
    </row>
    <row r="25" spans="1:44" ht="13.5" customHeight="1">
      <c r="A25" s="233"/>
      <c r="B25" s="262"/>
      <c r="C25" s="263" t="s">
        <v>2</v>
      </c>
      <c r="D25" s="300">
        <f t="shared" ca="1" si="3"/>
        <v>0</v>
      </c>
      <c r="E25" s="301"/>
      <c r="F25" s="302">
        <f t="shared" ca="1" si="1"/>
        <v>1.1000000000000001</v>
      </c>
      <c r="G25" s="315"/>
      <c r="H25" s="344"/>
      <c r="I25" s="345"/>
      <c r="J25" s="346">
        <f t="shared" ca="1" si="2"/>
        <v>0.6</v>
      </c>
      <c r="K25" s="319"/>
      <c r="L25" s="320"/>
      <c r="M25" s="288"/>
      <c r="N25" s="272" t="s">
        <v>2</v>
      </c>
      <c r="O25" s="309">
        <v>12</v>
      </c>
      <c r="P25" s="309">
        <v>0</v>
      </c>
      <c r="Q25" s="309">
        <v>3</v>
      </c>
      <c r="R25" s="309">
        <v>7</v>
      </c>
      <c r="S25" s="309">
        <v>8</v>
      </c>
      <c r="T25" s="309">
        <v>10</v>
      </c>
      <c r="U25" s="309">
        <v>2</v>
      </c>
      <c r="V25" s="309">
        <v>2</v>
      </c>
      <c r="W25" s="309">
        <v>5</v>
      </c>
      <c r="X25" s="309">
        <v>1</v>
      </c>
      <c r="Y25" s="309">
        <v>1</v>
      </c>
      <c r="Z25" s="309">
        <v>4</v>
      </c>
      <c r="AA25" s="309">
        <v>1</v>
      </c>
      <c r="AB25" s="309">
        <v>4</v>
      </c>
      <c r="AC25" s="309">
        <v>3</v>
      </c>
      <c r="AD25" s="310">
        <v>1</v>
      </c>
      <c r="AE25" s="310">
        <v>1</v>
      </c>
      <c r="AF25" s="310">
        <v>0</v>
      </c>
      <c r="AG25" s="310">
        <v>2</v>
      </c>
      <c r="AH25" s="310">
        <v>2</v>
      </c>
      <c r="AI25" s="310">
        <v>4</v>
      </c>
      <c r="AJ25" s="311">
        <v>0</v>
      </c>
      <c r="AK25" s="310">
        <v>0</v>
      </c>
      <c r="AL25" s="312">
        <v>0</v>
      </c>
      <c r="AM25" s="310">
        <v>2</v>
      </c>
      <c r="AN25" s="310">
        <v>1</v>
      </c>
      <c r="AO25" s="362">
        <v>0</v>
      </c>
      <c r="AP25" s="363">
        <v>0</v>
      </c>
      <c r="AQ25" s="314"/>
      <c r="AR25" s="233"/>
    </row>
    <row r="26" spans="1:44" ht="13.5" customHeight="1">
      <c r="A26" s="233"/>
      <c r="B26" s="262"/>
      <c r="C26" s="276" t="s">
        <v>3</v>
      </c>
      <c r="D26" s="300">
        <f t="shared" ca="1" si="3"/>
        <v>0</v>
      </c>
      <c r="E26" s="301"/>
      <c r="F26" s="302">
        <f t="shared" ca="1" si="1"/>
        <v>0.58333000000000002</v>
      </c>
      <c r="G26" s="315"/>
      <c r="H26" s="316"/>
      <c r="I26" s="317"/>
      <c r="J26" s="318">
        <f t="shared" ca="1" si="2"/>
        <v>0.16666</v>
      </c>
      <c r="K26" s="319"/>
      <c r="L26" s="320"/>
      <c r="M26" s="288"/>
      <c r="N26" s="284" t="s">
        <v>3</v>
      </c>
      <c r="O26" s="321">
        <v>2</v>
      </c>
      <c r="P26" s="321">
        <v>1</v>
      </c>
      <c r="Q26" s="321">
        <v>0</v>
      </c>
      <c r="R26" s="321">
        <v>9</v>
      </c>
      <c r="S26" s="321">
        <v>7</v>
      </c>
      <c r="T26" s="321">
        <v>5</v>
      </c>
      <c r="U26" s="321">
        <v>3</v>
      </c>
      <c r="V26" s="321">
        <v>3</v>
      </c>
      <c r="W26" s="321">
        <v>2</v>
      </c>
      <c r="X26" s="321">
        <v>0</v>
      </c>
      <c r="Y26" s="321">
        <v>0</v>
      </c>
      <c r="Z26" s="321">
        <v>8</v>
      </c>
      <c r="AA26" s="321">
        <v>0</v>
      </c>
      <c r="AB26" s="321">
        <v>2</v>
      </c>
      <c r="AC26" s="321">
        <v>0</v>
      </c>
      <c r="AD26" s="322">
        <v>0</v>
      </c>
      <c r="AE26" s="322">
        <v>2</v>
      </c>
      <c r="AF26" s="322">
        <v>1</v>
      </c>
      <c r="AG26" s="322">
        <v>3</v>
      </c>
      <c r="AH26" s="322">
        <v>1</v>
      </c>
      <c r="AI26" s="322">
        <v>1</v>
      </c>
      <c r="AJ26" s="323">
        <v>0</v>
      </c>
      <c r="AK26" s="322">
        <v>0</v>
      </c>
      <c r="AL26" s="324">
        <v>0</v>
      </c>
      <c r="AM26" s="322">
        <v>0</v>
      </c>
      <c r="AN26" s="322">
        <v>0.83330000000000004</v>
      </c>
      <c r="AO26" s="364">
        <v>0</v>
      </c>
      <c r="AP26" s="365">
        <v>0</v>
      </c>
      <c r="AQ26" s="314"/>
      <c r="AR26" s="233"/>
    </row>
    <row r="27" spans="1:44" ht="13.5" customHeight="1">
      <c r="A27" s="233"/>
      <c r="B27" s="262" t="s">
        <v>144</v>
      </c>
      <c r="C27" s="276" t="s">
        <v>5</v>
      </c>
      <c r="D27" s="300">
        <f t="shared" ca="1" si="3"/>
        <v>0</v>
      </c>
      <c r="E27" s="301"/>
      <c r="F27" s="302">
        <f t="shared" ca="1" si="1"/>
        <v>0.8</v>
      </c>
      <c r="G27" s="315"/>
      <c r="H27" s="316"/>
      <c r="I27" s="317"/>
      <c r="J27" s="318">
        <f t="shared" ca="1" si="2"/>
        <v>0.8</v>
      </c>
      <c r="K27" s="319"/>
      <c r="L27" s="320"/>
      <c r="M27" s="288" t="s">
        <v>9</v>
      </c>
      <c r="N27" s="284" t="s">
        <v>5</v>
      </c>
      <c r="O27" s="321">
        <v>3</v>
      </c>
      <c r="P27" s="321">
        <v>3</v>
      </c>
      <c r="Q27" s="321">
        <v>4</v>
      </c>
      <c r="R27" s="321">
        <v>7</v>
      </c>
      <c r="S27" s="321">
        <v>4</v>
      </c>
      <c r="T27" s="321">
        <v>7</v>
      </c>
      <c r="U27" s="321">
        <v>2</v>
      </c>
      <c r="V27" s="321">
        <v>3</v>
      </c>
      <c r="W27" s="321">
        <v>1</v>
      </c>
      <c r="X27" s="321">
        <v>2</v>
      </c>
      <c r="Y27" s="321">
        <v>1</v>
      </c>
      <c r="Z27" s="321">
        <v>5</v>
      </c>
      <c r="AA27" s="321">
        <v>2</v>
      </c>
      <c r="AB27" s="321">
        <v>2</v>
      </c>
      <c r="AC27" s="321">
        <v>2</v>
      </c>
      <c r="AD27" s="322">
        <v>1</v>
      </c>
      <c r="AE27" s="322">
        <v>1</v>
      </c>
      <c r="AF27" s="322">
        <v>0</v>
      </c>
      <c r="AG27" s="322">
        <v>0</v>
      </c>
      <c r="AH27" s="322">
        <v>0</v>
      </c>
      <c r="AI27" s="322">
        <v>0</v>
      </c>
      <c r="AJ27" s="323">
        <v>2</v>
      </c>
      <c r="AK27" s="322">
        <v>2</v>
      </c>
      <c r="AL27" s="324">
        <v>1</v>
      </c>
      <c r="AM27" s="322">
        <v>2</v>
      </c>
      <c r="AN27" s="322">
        <v>1</v>
      </c>
      <c r="AO27" s="364">
        <v>0</v>
      </c>
      <c r="AP27" s="365">
        <v>0</v>
      </c>
      <c r="AQ27" s="314"/>
      <c r="AR27" s="233"/>
    </row>
    <row r="28" spans="1:44" ht="13.5" customHeight="1">
      <c r="A28" s="233"/>
      <c r="B28" s="262"/>
      <c r="C28" s="276" t="s">
        <v>6</v>
      </c>
      <c r="D28" s="300">
        <f t="shared" ca="1" si="3"/>
        <v>0</v>
      </c>
      <c r="E28" s="301"/>
      <c r="F28" s="302">
        <f t="shared" ca="1" si="1"/>
        <v>1.5</v>
      </c>
      <c r="G28" s="315"/>
      <c r="H28" s="316"/>
      <c r="I28" s="317"/>
      <c r="J28" s="318">
        <f t="shared" ca="1" si="2"/>
        <v>1.2</v>
      </c>
      <c r="K28" s="319"/>
      <c r="L28" s="320"/>
      <c r="M28" s="288"/>
      <c r="N28" s="284" t="s">
        <v>6</v>
      </c>
      <c r="O28" s="321">
        <v>0</v>
      </c>
      <c r="P28" s="321">
        <v>5</v>
      </c>
      <c r="Q28" s="321">
        <v>0</v>
      </c>
      <c r="R28" s="321">
        <v>1</v>
      </c>
      <c r="S28" s="321">
        <v>15</v>
      </c>
      <c r="T28" s="321">
        <v>19</v>
      </c>
      <c r="U28" s="321">
        <v>2</v>
      </c>
      <c r="V28" s="321">
        <v>3</v>
      </c>
      <c r="W28" s="321">
        <v>1</v>
      </c>
      <c r="X28" s="321">
        <v>3</v>
      </c>
      <c r="Y28" s="321">
        <v>5</v>
      </c>
      <c r="Z28" s="321">
        <v>8</v>
      </c>
      <c r="AA28" s="321">
        <v>2</v>
      </c>
      <c r="AB28" s="321">
        <v>3</v>
      </c>
      <c r="AC28" s="321">
        <v>1</v>
      </c>
      <c r="AD28" s="322">
        <v>1</v>
      </c>
      <c r="AE28" s="322">
        <v>0</v>
      </c>
      <c r="AF28" s="322">
        <v>1</v>
      </c>
      <c r="AG28" s="322">
        <v>0</v>
      </c>
      <c r="AH28" s="322">
        <v>1</v>
      </c>
      <c r="AI28" s="322">
        <v>2</v>
      </c>
      <c r="AJ28" s="323">
        <v>4</v>
      </c>
      <c r="AK28" s="322">
        <v>2</v>
      </c>
      <c r="AL28" s="324">
        <v>1</v>
      </c>
      <c r="AM28" s="322">
        <v>0</v>
      </c>
      <c r="AN28" s="322">
        <v>1</v>
      </c>
      <c r="AO28" s="364">
        <v>2</v>
      </c>
      <c r="AP28" s="365">
        <v>2</v>
      </c>
      <c r="AQ28" s="314"/>
      <c r="AR28" s="233"/>
    </row>
    <row r="29" spans="1:44" ht="13.5" customHeight="1">
      <c r="A29" s="233"/>
      <c r="B29" s="262"/>
      <c r="C29" s="276" t="s">
        <v>7</v>
      </c>
      <c r="D29" s="300">
        <f t="shared" ca="1" si="3"/>
        <v>0</v>
      </c>
      <c r="E29" s="301"/>
      <c r="F29" s="302">
        <f t="shared" ca="1" si="1"/>
        <v>1.9600000000000002</v>
      </c>
      <c r="G29" s="315"/>
      <c r="H29" s="316"/>
      <c r="I29" s="317"/>
      <c r="J29" s="318">
        <f t="shared" ca="1" si="2"/>
        <v>1.52</v>
      </c>
      <c r="K29" s="319"/>
      <c r="L29" s="320"/>
      <c r="M29" s="288"/>
      <c r="N29" s="284" t="s">
        <v>7</v>
      </c>
      <c r="O29" s="321">
        <v>2</v>
      </c>
      <c r="P29" s="321">
        <v>1</v>
      </c>
      <c r="Q29" s="321">
        <v>6</v>
      </c>
      <c r="R29" s="321">
        <v>3</v>
      </c>
      <c r="S29" s="321">
        <v>1</v>
      </c>
      <c r="T29" s="321">
        <v>9</v>
      </c>
      <c r="U29" s="321">
        <v>2</v>
      </c>
      <c r="V29" s="321">
        <v>6</v>
      </c>
      <c r="W29" s="321">
        <v>1</v>
      </c>
      <c r="X29" s="321">
        <v>6</v>
      </c>
      <c r="Y29" s="321">
        <v>12</v>
      </c>
      <c r="Z29" s="321">
        <v>10</v>
      </c>
      <c r="AA29" s="321">
        <v>0</v>
      </c>
      <c r="AB29" s="321">
        <v>2</v>
      </c>
      <c r="AC29" s="321">
        <v>4</v>
      </c>
      <c r="AD29" s="322">
        <v>2</v>
      </c>
      <c r="AE29" s="322">
        <v>0</v>
      </c>
      <c r="AF29" s="322">
        <v>2</v>
      </c>
      <c r="AG29" s="322">
        <v>1</v>
      </c>
      <c r="AH29" s="322">
        <v>2</v>
      </c>
      <c r="AI29" s="322">
        <v>5</v>
      </c>
      <c r="AJ29" s="323">
        <v>3</v>
      </c>
      <c r="AK29" s="322">
        <v>1</v>
      </c>
      <c r="AL29" s="324">
        <v>1</v>
      </c>
      <c r="AM29" s="322">
        <v>1</v>
      </c>
      <c r="AN29" s="322">
        <v>4</v>
      </c>
      <c r="AO29" s="364">
        <v>1</v>
      </c>
      <c r="AP29" s="365">
        <v>0.6</v>
      </c>
      <c r="AQ29" s="314"/>
      <c r="AR29" s="233"/>
    </row>
    <row r="30" spans="1:44" ht="13.5" customHeight="1" thickBot="1">
      <c r="A30" s="233"/>
      <c r="B30" s="262"/>
      <c r="C30" s="225" t="s">
        <v>8</v>
      </c>
      <c r="D30" s="329">
        <f t="shared" ca="1" si="3"/>
        <v>0</v>
      </c>
      <c r="E30" s="330"/>
      <c r="F30" s="331">
        <f t="shared" ca="1" si="1"/>
        <v>5.1930000000000005</v>
      </c>
      <c r="G30" s="332"/>
      <c r="H30" s="333"/>
      <c r="I30" s="334"/>
      <c r="J30" s="335">
        <f t="shared" ca="1" si="2"/>
        <v>7.9860000000000015</v>
      </c>
      <c r="K30" s="336"/>
      <c r="L30" s="320"/>
      <c r="M30" s="288"/>
      <c r="N30" s="298" t="s">
        <v>8</v>
      </c>
      <c r="O30" s="338">
        <v>4</v>
      </c>
      <c r="P30" s="338">
        <v>3</v>
      </c>
      <c r="Q30" s="338">
        <v>12</v>
      </c>
      <c r="R30" s="338">
        <v>18</v>
      </c>
      <c r="S30" s="338">
        <v>8</v>
      </c>
      <c r="T30" s="338">
        <v>10</v>
      </c>
      <c r="U30" s="338">
        <v>4</v>
      </c>
      <c r="V30" s="338">
        <v>13</v>
      </c>
      <c r="W30" s="338">
        <v>3</v>
      </c>
      <c r="X30" s="338">
        <v>4</v>
      </c>
      <c r="Y30" s="338">
        <v>16</v>
      </c>
      <c r="Z30" s="338">
        <v>29</v>
      </c>
      <c r="AA30" s="338">
        <v>1</v>
      </c>
      <c r="AB30" s="338">
        <v>1</v>
      </c>
      <c r="AC30" s="338">
        <v>4</v>
      </c>
      <c r="AD30" s="339">
        <v>4</v>
      </c>
      <c r="AE30" s="339">
        <v>2</v>
      </c>
      <c r="AF30" s="339">
        <v>0</v>
      </c>
      <c r="AG30" s="339">
        <v>2</v>
      </c>
      <c r="AH30" s="339">
        <v>4</v>
      </c>
      <c r="AI30" s="339">
        <v>4</v>
      </c>
      <c r="AJ30" s="340">
        <v>2</v>
      </c>
      <c r="AK30" s="339">
        <v>0</v>
      </c>
      <c r="AL30" s="341">
        <v>0</v>
      </c>
      <c r="AM30" s="339">
        <v>1</v>
      </c>
      <c r="AN30" s="339">
        <v>8.3000000000000007</v>
      </c>
      <c r="AO30" s="366">
        <v>8.33</v>
      </c>
      <c r="AP30" s="360">
        <v>22.3</v>
      </c>
      <c r="AQ30" s="314"/>
      <c r="AR30" s="233"/>
    </row>
    <row r="31" spans="1:44" ht="13.5" customHeight="1">
      <c r="A31" s="233"/>
      <c r="B31" s="343"/>
      <c r="C31" s="263" t="s">
        <v>2</v>
      </c>
      <c r="D31" s="300">
        <f t="shared" ca="1" si="3"/>
        <v>0</v>
      </c>
      <c r="E31" s="301"/>
      <c r="F31" s="302">
        <f t="shared" ca="1" si="1"/>
        <v>3.2</v>
      </c>
      <c r="G31" s="315"/>
      <c r="H31" s="344"/>
      <c r="I31" s="345"/>
      <c r="J31" s="346">
        <f t="shared" ca="1" si="2"/>
        <v>4.4000000000000004</v>
      </c>
      <c r="K31" s="319"/>
      <c r="L31" s="320"/>
      <c r="M31" s="219"/>
      <c r="N31" s="272" t="s">
        <v>2</v>
      </c>
      <c r="O31" s="348">
        <v>1</v>
      </c>
      <c r="P31" s="348">
        <v>2</v>
      </c>
      <c r="Q31" s="348">
        <v>16</v>
      </c>
      <c r="R31" s="348">
        <v>0</v>
      </c>
      <c r="S31" s="348">
        <v>6</v>
      </c>
      <c r="T31" s="348">
        <v>45</v>
      </c>
      <c r="U31" s="348">
        <v>1</v>
      </c>
      <c r="V31" s="348">
        <v>11</v>
      </c>
      <c r="W31" s="348">
        <v>2</v>
      </c>
      <c r="X31" s="348">
        <v>3</v>
      </c>
      <c r="Y31" s="348">
        <v>13</v>
      </c>
      <c r="Z31" s="348">
        <v>15</v>
      </c>
      <c r="AA31" s="348">
        <v>1</v>
      </c>
      <c r="AB31" s="348">
        <v>3</v>
      </c>
      <c r="AC31" s="348">
        <v>5</v>
      </c>
      <c r="AD31" s="349">
        <v>6</v>
      </c>
      <c r="AE31" s="349">
        <v>4</v>
      </c>
      <c r="AF31" s="349">
        <v>2</v>
      </c>
      <c r="AG31" s="349">
        <v>1</v>
      </c>
      <c r="AH31" s="349">
        <v>1</v>
      </c>
      <c r="AI31" s="349">
        <v>6</v>
      </c>
      <c r="AJ31" s="350">
        <v>2</v>
      </c>
      <c r="AK31" s="349">
        <v>0</v>
      </c>
      <c r="AL31" s="351">
        <v>1</v>
      </c>
      <c r="AM31" s="349">
        <v>0</v>
      </c>
      <c r="AN31" s="349">
        <v>9</v>
      </c>
      <c r="AO31" s="367">
        <v>4</v>
      </c>
      <c r="AP31" s="363">
        <v>8</v>
      </c>
      <c r="AQ31" s="314"/>
      <c r="AR31" s="233"/>
    </row>
    <row r="32" spans="1:44" ht="13.5" customHeight="1">
      <c r="A32" s="233"/>
      <c r="B32" s="262"/>
      <c r="C32" s="276" t="s">
        <v>3</v>
      </c>
      <c r="D32" s="300">
        <f t="shared" ca="1" si="3"/>
        <v>0</v>
      </c>
      <c r="E32" s="301"/>
      <c r="F32" s="302">
        <f t="shared" ca="1" si="1"/>
        <v>3.0670000000000002</v>
      </c>
      <c r="G32" s="315"/>
      <c r="H32" s="316"/>
      <c r="I32" s="317"/>
      <c r="J32" s="318">
        <f t="shared" ca="1" si="2"/>
        <v>2.9340000000000002</v>
      </c>
      <c r="K32" s="319"/>
      <c r="L32" s="320"/>
      <c r="M32" s="288"/>
      <c r="N32" s="284" t="s">
        <v>3</v>
      </c>
      <c r="O32" s="321">
        <v>14</v>
      </c>
      <c r="P32" s="321">
        <v>7</v>
      </c>
      <c r="Q32" s="321">
        <v>14</v>
      </c>
      <c r="R32" s="321">
        <v>28</v>
      </c>
      <c r="S32" s="321">
        <v>72</v>
      </c>
      <c r="T32" s="321">
        <v>36</v>
      </c>
      <c r="U32" s="321">
        <v>4</v>
      </c>
      <c r="V32" s="321">
        <v>18</v>
      </c>
      <c r="W32" s="321">
        <v>4</v>
      </c>
      <c r="X32" s="321">
        <v>3</v>
      </c>
      <c r="Y32" s="321">
        <v>6</v>
      </c>
      <c r="Z32" s="321">
        <v>10</v>
      </c>
      <c r="AA32" s="321">
        <v>1</v>
      </c>
      <c r="AB32" s="321">
        <v>5</v>
      </c>
      <c r="AC32" s="321">
        <v>4</v>
      </c>
      <c r="AD32" s="322">
        <v>9</v>
      </c>
      <c r="AE32" s="322">
        <v>1</v>
      </c>
      <c r="AF32" s="322">
        <v>1</v>
      </c>
      <c r="AG32" s="322">
        <v>3</v>
      </c>
      <c r="AH32" s="322">
        <v>3</v>
      </c>
      <c r="AI32" s="322">
        <v>8</v>
      </c>
      <c r="AJ32" s="323">
        <v>2</v>
      </c>
      <c r="AK32" s="322">
        <v>0</v>
      </c>
      <c r="AL32" s="324">
        <v>0</v>
      </c>
      <c r="AM32" s="322">
        <v>1</v>
      </c>
      <c r="AN32" s="322">
        <v>7.67</v>
      </c>
      <c r="AO32" s="364">
        <v>5</v>
      </c>
      <c r="AP32" s="365">
        <v>1</v>
      </c>
      <c r="AQ32" s="314"/>
      <c r="AR32" s="233"/>
    </row>
    <row r="33" spans="1:44" ht="13.5" customHeight="1">
      <c r="A33" s="233"/>
      <c r="B33" s="262" t="s">
        <v>145</v>
      </c>
      <c r="C33" s="276" t="s">
        <v>5</v>
      </c>
      <c r="D33" s="300">
        <f t="shared" ca="1" si="3"/>
        <v>0</v>
      </c>
      <c r="E33" s="301"/>
      <c r="F33" s="302">
        <f t="shared" ca="1" si="1"/>
        <v>3</v>
      </c>
      <c r="G33" s="315"/>
      <c r="H33" s="316"/>
      <c r="I33" s="317"/>
      <c r="J33" s="318">
        <f t="shared" ca="1" si="2"/>
        <v>3.4</v>
      </c>
      <c r="K33" s="319"/>
      <c r="L33" s="320"/>
      <c r="M33" s="288" t="s">
        <v>10</v>
      </c>
      <c r="N33" s="284" t="s">
        <v>5</v>
      </c>
      <c r="O33" s="321">
        <v>18</v>
      </c>
      <c r="P33" s="321">
        <v>1</v>
      </c>
      <c r="Q33" s="321">
        <v>19</v>
      </c>
      <c r="R33" s="321">
        <v>65</v>
      </c>
      <c r="S33" s="321">
        <v>48</v>
      </c>
      <c r="T33" s="321">
        <v>73</v>
      </c>
      <c r="U33" s="321">
        <v>15</v>
      </c>
      <c r="V33" s="321">
        <v>5</v>
      </c>
      <c r="W33" s="321">
        <v>1</v>
      </c>
      <c r="X33" s="321">
        <v>3</v>
      </c>
      <c r="Y33" s="321">
        <v>9</v>
      </c>
      <c r="Z33" s="321">
        <v>21</v>
      </c>
      <c r="AA33" s="321">
        <v>4</v>
      </c>
      <c r="AB33" s="321">
        <v>7</v>
      </c>
      <c r="AC33" s="321">
        <v>6</v>
      </c>
      <c r="AD33" s="322">
        <v>3</v>
      </c>
      <c r="AE33" s="322">
        <v>2</v>
      </c>
      <c r="AF33" s="322">
        <v>0</v>
      </c>
      <c r="AG33" s="322">
        <v>3</v>
      </c>
      <c r="AH33" s="322">
        <v>3</v>
      </c>
      <c r="AI33" s="322">
        <v>2</v>
      </c>
      <c r="AJ33" s="323">
        <v>5</v>
      </c>
      <c r="AK33" s="322">
        <v>0</v>
      </c>
      <c r="AL33" s="324">
        <v>0</v>
      </c>
      <c r="AM33" s="322">
        <v>1</v>
      </c>
      <c r="AN33" s="322">
        <v>10</v>
      </c>
      <c r="AO33" s="364">
        <v>6</v>
      </c>
      <c r="AP33" s="365">
        <v>0</v>
      </c>
      <c r="AQ33" s="314"/>
      <c r="AR33" s="233"/>
    </row>
    <row r="34" spans="1:44" ht="13.5" customHeight="1">
      <c r="A34" s="233"/>
      <c r="B34" s="262"/>
      <c r="C34" s="276" t="s">
        <v>6</v>
      </c>
      <c r="D34" s="300">
        <f t="shared" ca="1" si="3"/>
        <v>0</v>
      </c>
      <c r="E34" s="301"/>
      <c r="F34" s="302">
        <f t="shared" ca="1" si="1"/>
        <v>3.35</v>
      </c>
      <c r="G34" s="315"/>
      <c r="H34" s="316"/>
      <c r="I34" s="317"/>
      <c r="J34" s="318">
        <f t="shared" ca="1" si="2"/>
        <v>2.5</v>
      </c>
      <c r="K34" s="319"/>
      <c r="L34" s="320"/>
      <c r="M34" s="288"/>
      <c r="N34" s="284" t="s">
        <v>6</v>
      </c>
      <c r="O34" s="321">
        <v>11</v>
      </c>
      <c r="P34" s="321">
        <v>2</v>
      </c>
      <c r="Q34" s="321">
        <v>22</v>
      </c>
      <c r="R34" s="321">
        <v>13</v>
      </c>
      <c r="S34" s="321">
        <v>8</v>
      </c>
      <c r="T34" s="321">
        <v>63</v>
      </c>
      <c r="U34" s="321">
        <v>5</v>
      </c>
      <c r="V34" s="321">
        <v>19</v>
      </c>
      <c r="W34" s="321">
        <v>1</v>
      </c>
      <c r="X34" s="321">
        <v>12</v>
      </c>
      <c r="Y34" s="321">
        <v>42</v>
      </c>
      <c r="Z34" s="321">
        <v>6</v>
      </c>
      <c r="AA34" s="321">
        <v>5</v>
      </c>
      <c r="AB34" s="321">
        <v>3</v>
      </c>
      <c r="AC34" s="321">
        <v>7</v>
      </c>
      <c r="AD34" s="322">
        <v>0</v>
      </c>
      <c r="AE34" s="322">
        <v>2</v>
      </c>
      <c r="AF34" s="322">
        <v>2</v>
      </c>
      <c r="AG34" s="322">
        <v>6</v>
      </c>
      <c r="AH34" s="322">
        <v>9</v>
      </c>
      <c r="AI34" s="322">
        <v>4</v>
      </c>
      <c r="AJ34" s="323">
        <v>1</v>
      </c>
      <c r="AK34" s="322">
        <v>1</v>
      </c>
      <c r="AL34" s="324">
        <v>0</v>
      </c>
      <c r="AM34" s="322">
        <v>1</v>
      </c>
      <c r="AN34" s="322">
        <v>9</v>
      </c>
      <c r="AO34" s="364">
        <v>2.5</v>
      </c>
      <c r="AP34" s="365">
        <v>0</v>
      </c>
      <c r="AQ34" s="314"/>
      <c r="AR34" s="233"/>
    </row>
    <row r="35" spans="1:44" ht="13.5" customHeight="1">
      <c r="A35" s="233"/>
      <c r="B35" s="262"/>
      <c r="C35" s="276" t="s">
        <v>7</v>
      </c>
      <c r="D35" s="300">
        <f t="shared" ca="1" si="3"/>
        <v>0</v>
      </c>
      <c r="E35" s="301"/>
      <c r="F35" s="302">
        <f t="shared" ca="1" si="1"/>
        <v>3.7700000000000005</v>
      </c>
      <c r="G35" s="315"/>
      <c r="H35" s="316"/>
      <c r="I35" s="317"/>
      <c r="J35" s="318">
        <f t="shared" ca="1" si="2"/>
        <v>1.54</v>
      </c>
      <c r="K35" s="319"/>
      <c r="L35" s="320"/>
      <c r="M35" s="288"/>
      <c r="N35" s="284" t="s">
        <v>7</v>
      </c>
      <c r="O35" s="321">
        <v>12</v>
      </c>
      <c r="P35" s="321">
        <v>3</v>
      </c>
      <c r="Q35" s="321">
        <v>6</v>
      </c>
      <c r="R35" s="321">
        <v>2</v>
      </c>
      <c r="S35" s="321">
        <v>1</v>
      </c>
      <c r="T35" s="321">
        <v>1</v>
      </c>
      <c r="U35" s="321">
        <v>7</v>
      </c>
      <c r="V35" s="321">
        <v>22</v>
      </c>
      <c r="W35" s="321">
        <v>2</v>
      </c>
      <c r="X35" s="321">
        <v>3</v>
      </c>
      <c r="Y35" s="321">
        <v>61</v>
      </c>
      <c r="Z35" s="321">
        <v>3</v>
      </c>
      <c r="AA35" s="321">
        <v>4</v>
      </c>
      <c r="AB35" s="321">
        <v>1</v>
      </c>
      <c r="AC35" s="321">
        <v>5</v>
      </c>
      <c r="AD35" s="322">
        <v>2</v>
      </c>
      <c r="AE35" s="322">
        <v>5</v>
      </c>
      <c r="AF35" s="322">
        <v>2</v>
      </c>
      <c r="AG35" s="322">
        <v>14</v>
      </c>
      <c r="AH35" s="322">
        <v>8</v>
      </c>
      <c r="AI35" s="322">
        <v>3</v>
      </c>
      <c r="AJ35" s="323">
        <v>4</v>
      </c>
      <c r="AK35" s="322">
        <v>1</v>
      </c>
      <c r="AL35" s="324">
        <v>0</v>
      </c>
      <c r="AM35" s="322">
        <v>2</v>
      </c>
      <c r="AN35" s="322">
        <v>1</v>
      </c>
      <c r="AO35" s="364">
        <v>0.7</v>
      </c>
      <c r="AP35" s="365">
        <v>4</v>
      </c>
      <c r="AQ35" s="314"/>
      <c r="AR35" s="233"/>
    </row>
    <row r="36" spans="1:44" ht="13.5" customHeight="1" thickBot="1">
      <c r="A36" s="233"/>
      <c r="B36" s="290"/>
      <c r="C36" s="225" t="s">
        <v>8</v>
      </c>
      <c r="D36" s="329">
        <f t="shared" ca="1" si="3"/>
        <v>0</v>
      </c>
      <c r="E36" s="330"/>
      <c r="F36" s="331">
        <f t="shared" ca="1" si="1"/>
        <v>2.0289999999999999</v>
      </c>
      <c r="G36" s="332"/>
      <c r="H36" s="333"/>
      <c r="I36" s="334"/>
      <c r="J36" s="335">
        <f t="shared" ca="1" si="2"/>
        <v>0.65800000000000003</v>
      </c>
      <c r="K36" s="336"/>
      <c r="L36" s="320"/>
      <c r="M36" s="337"/>
      <c r="N36" s="298" t="s">
        <v>8</v>
      </c>
      <c r="O36" s="354">
        <v>7</v>
      </c>
      <c r="P36" s="354">
        <v>0</v>
      </c>
      <c r="Q36" s="354">
        <v>0</v>
      </c>
      <c r="R36" s="354">
        <v>3</v>
      </c>
      <c r="S36" s="354">
        <v>1</v>
      </c>
      <c r="T36" s="354">
        <v>1</v>
      </c>
      <c r="U36" s="354">
        <v>1</v>
      </c>
      <c r="V36" s="354">
        <v>5</v>
      </c>
      <c r="W36" s="354">
        <v>3</v>
      </c>
      <c r="X36" s="354">
        <v>6</v>
      </c>
      <c r="Y36" s="354">
        <v>0</v>
      </c>
      <c r="Z36" s="354">
        <v>6</v>
      </c>
      <c r="AA36" s="354">
        <v>3</v>
      </c>
      <c r="AB36" s="354">
        <v>1</v>
      </c>
      <c r="AC36" s="354">
        <v>6</v>
      </c>
      <c r="AD36" s="326">
        <v>1</v>
      </c>
      <c r="AE36" s="326">
        <v>8</v>
      </c>
      <c r="AF36" s="326">
        <v>4</v>
      </c>
      <c r="AG36" s="326">
        <v>2</v>
      </c>
      <c r="AH36" s="326">
        <v>2</v>
      </c>
      <c r="AI36" s="326">
        <v>4</v>
      </c>
      <c r="AJ36" s="327">
        <v>7</v>
      </c>
      <c r="AK36" s="326">
        <v>2</v>
      </c>
      <c r="AL36" s="328">
        <v>0</v>
      </c>
      <c r="AM36" s="326">
        <v>2</v>
      </c>
      <c r="AN36" s="326">
        <v>0</v>
      </c>
      <c r="AO36" s="368">
        <v>0.28999999999999998</v>
      </c>
      <c r="AP36" s="360">
        <v>1</v>
      </c>
      <c r="AQ36" s="314"/>
      <c r="AR36" s="233"/>
    </row>
    <row r="37" spans="1:44" ht="13.5" customHeight="1">
      <c r="A37" s="233"/>
      <c r="B37" s="262"/>
      <c r="C37" s="263" t="s">
        <v>2</v>
      </c>
      <c r="D37" s="300">
        <f t="shared" ca="1" si="3"/>
        <v>0</v>
      </c>
      <c r="E37" s="301"/>
      <c r="F37" s="302">
        <f t="shared" ca="1" si="1"/>
        <v>0.9</v>
      </c>
      <c r="G37" s="315"/>
      <c r="H37" s="344"/>
      <c r="I37" s="345"/>
      <c r="J37" s="346">
        <f t="shared" ca="1" si="2"/>
        <v>0.6</v>
      </c>
      <c r="K37" s="319"/>
      <c r="L37" s="320"/>
      <c r="M37" s="288"/>
      <c r="N37" s="272" t="s">
        <v>2</v>
      </c>
      <c r="O37" s="309">
        <v>8</v>
      </c>
      <c r="P37" s="309">
        <v>0</v>
      </c>
      <c r="Q37" s="309">
        <v>0</v>
      </c>
      <c r="R37" s="309">
        <v>0</v>
      </c>
      <c r="S37" s="309">
        <v>1</v>
      </c>
      <c r="T37" s="309">
        <v>0</v>
      </c>
      <c r="U37" s="309">
        <v>1</v>
      </c>
      <c r="V37" s="309">
        <v>14</v>
      </c>
      <c r="W37" s="309">
        <v>3</v>
      </c>
      <c r="X37" s="309">
        <v>11</v>
      </c>
      <c r="Y37" s="309">
        <v>0</v>
      </c>
      <c r="Z37" s="309">
        <v>4</v>
      </c>
      <c r="AA37" s="309">
        <v>2</v>
      </c>
      <c r="AB37" s="309">
        <v>2</v>
      </c>
      <c r="AC37" s="309">
        <v>3</v>
      </c>
      <c r="AD37" s="310">
        <v>2</v>
      </c>
      <c r="AE37" s="310">
        <v>6</v>
      </c>
      <c r="AF37" s="310">
        <v>0</v>
      </c>
      <c r="AG37" s="310">
        <v>2</v>
      </c>
      <c r="AH37" s="310">
        <v>2</v>
      </c>
      <c r="AI37" s="310">
        <v>0</v>
      </c>
      <c r="AJ37" s="311">
        <v>2</v>
      </c>
      <c r="AK37" s="310">
        <v>0</v>
      </c>
      <c r="AL37" s="312">
        <v>0</v>
      </c>
      <c r="AM37" s="310">
        <v>1</v>
      </c>
      <c r="AN37" s="310">
        <v>0</v>
      </c>
      <c r="AO37" s="362">
        <v>0</v>
      </c>
      <c r="AP37" s="363">
        <v>2</v>
      </c>
      <c r="AQ37" s="314"/>
      <c r="AR37" s="233"/>
    </row>
    <row r="38" spans="1:44" ht="13.5" customHeight="1">
      <c r="A38" s="233"/>
      <c r="B38" s="262"/>
      <c r="C38" s="276" t="s">
        <v>3</v>
      </c>
      <c r="D38" s="300">
        <f t="shared" ca="1" si="3"/>
        <v>0</v>
      </c>
      <c r="E38" s="301"/>
      <c r="F38" s="302">
        <f t="shared" ca="1" si="1"/>
        <v>1.7777777777777777</v>
      </c>
      <c r="G38" s="315"/>
      <c r="H38" s="316"/>
      <c r="I38" s="317"/>
      <c r="J38" s="318">
        <f t="shared" ca="1" si="2"/>
        <v>0.5</v>
      </c>
      <c r="K38" s="319"/>
      <c r="L38" s="320"/>
      <c r="M38" s="288"/>
      <c r="N38" s="284" t="s">
        <v>3</v>
      </c>
      <c r="O38" s="321">
        <v>4</v>
      </c>
      <c r="P38" s="321">
        <v>2</v>
      </c>
      <c r="Q38" s="321">
        <v>3</v>
      </c>
      <c r="R38" s="321">
        <v>13</v>
      </c>
      <c r="S38" s="321">
        <v>0</v>
      </c>
      <c r="T38" s="321">
        <v>0</v>
      </c>
      <c r="U38" s="321">
        <v>0</v>
      </c>
      <c r="V38" s="321">
        <v>1</v>
      </c>
      <c r="W38" s="321">
        <v>2</v>
      </c>
      <c r="X38" s="321">
        <v>6</v>
      </c>
      <c r="Y38" s="321">
        <v>1</v>
      </c>
      <c r="Z38" s="321">
        <v>8</v>
      </c>
      <c r="AA38" s="321">
        <v>1</v>
      </c>
      <c r="AB38" s="321">
        <v>2</v>
      </c>
      <c r="AC38" s="321">
        <v>2</v>
      </c>
      <c r="AD38" s="322">
        <v>5</v>
      </c>
      <c r="AE38" s="322">
        <v>4</v>
      </c>
      <c r="AF38" s="322">
        <v>2</v>
      </c>
      <c r="AG38" s="322">
        <v>4</v>
      </c>
      <c r="AH38" s="322">
        <v>3</v>
      </c>
      <c r="AI38" s="322">
        <v>1</v>
      </c>
      <c r="AJ38" s="323">
        <v>3</v>
      </c>
      <c r="AK38" s="322">
        <v>3</v>
      </c>
      <c r="AL38" s="324">
        <v>1</v>
      </c>
      <c r="AM38" s="322">
        <v>1</v>
      </c>
      <c r="AN38" s="322"/>
      <c r="AO38" s="364">
        <v>0</v>
      </c>
      <c r="AP38" s="365">
        <v>0</v>
      </c>
      <c r="AQ38" s="314"/>
      <c r="AR38" s="233"/>
    </row>
    <row r="39" spans="1:44" ht="13.5" customHeight="1">
      <c r="A39" s="233"/>
      <c r="B39" s="262" t="s">
        <v>146</v>
      </c>
      <c r="C39" s="276" t="s">
        <v>5</v>
      </c>
      <c r="D39" s="300">
        <f t="shared" ca="1" si="3"/>
        <v>0</v>
      </c>
      <c r="E39" s="301"/>
      <c r="F39" s="302">
        <f t="shared" ca="1" si="1"/>
        <v>3.8250000000000002</v>
      </c>
      <c r="G39" s="315"/>
      <c r="H39" s="316"/>
      <c r="I39" s="317"/>
      <c r="J39" s="318">
        <f t="shared" ca="1" si="2"/>
        <v>2.85</v>
      </c>
      <c r="K39" s="319"/>
      <c r="L39" s="320"/>
      <c r="M39" s="288" t="s">
        <v>11</v>
      </c>
      <c r="N39" s="284" t="s">
        <v>5</v>
      </c>
      <c r="O39" s="321">
        <v>4</v>
      </c>
      <c r="P39" s="321">
        <v>3</v>
      </c>
      <c r="Q39" s="321">
        <v>12</v>
      </c>
      <c r="R39" s="321">
        <v>49</v>
      </c>
      <c r="S39" s="321">
        <v>2</v>
      </c>
      <c r="T39" s="321">
        <v>0</v>
      </c>
      <c r="U39" s="321">
        <v>3</v>
      </c>
      <c r="V39" s="321">
        <v>4</v>
      </c>
      <c r="W39" s="321">
        <v>1</v>
      </c>
      <c r="X39" s="321">
        <v>1</v>
      </c>
      <c r="Y39" s="321">
        <v>1</v>
      </c>
      <c r="Z39" s="321">
        <v>2</v>
      </c>
      <c r="AA39" s="321">
        <v>2</v>
      </c>
      <c r="AB39" s="321">
        <v>3</v>
      </c>
      <c r="AC39" s="321">
        <v>2</v>
      </c>
      <c r="AD39" s="322">
        <v>1</v>
      </c>
      <c r="AE39" s="322">
        <v>1</v>
      </c>
      <c r="AF39" s="322">
        <v>1</v>
      </c>
      <c r="AG39" s="322">
        <v>2</v>
      </c>
      <c r="AH39" s="322">
        <v>1</v>
      </c>
      <c r="AI39" s="322">
        <v>7</v>
      </c>
      <c r="AJ39" s="323">
        <v>6</v>
      </c>
      <c r="AK39" s="322">
        <v>8</v>
      </c>
      <c r="AL39" s="324">
        <v>5</v>
      </c>
      <c r="AM39" s="322">
        <v>3</v>
      </c>
      <c r="AN39" s="322">
        <v>6.25</v>
      </c>
      <c r="AO39" s="323">
        <v>0</v>
      </c>
      <c r="AP39" s="325">
        <v>0</v>
      </c>
      <c r="AQ39" s="314"/>
      <c r="AR39" s="233"/>
    </row>
    <row r="40" spans="1:44" ht="13.5" customHeight="1">
      <c r="A40" s="233"/>
      <c r="B40" s="262"/>
      <c r="C40" s="276" t="s">
        <v>6</v>
      </c>
      <c r="D40" s="300">
        <f t="shared" ca="1" si="3"/>
        <v>0</v>
      </c>
      <c r="E40" s="301"/>
      <c r="F40" s="302">
        <f t="shared" ca="1" si="1"/>
        <v>3.2299999999999995</v>
      </c>
      <c r="G40" s="315"/>
      <c r="H40" s="316"/>
      <c r="I40" s="317"/>
      <c r="J40" s="318">
        <f t="shared" ca="1" si="2"/>
        <v>1.6600000000000001</v>
      </c>
      <c r="K40" s="319"/>
      <c r="L40" s="320"/>
      <c r="M40" s="288"/>
      <c r="N40" s="284" t="s">
        <v>6</v>
      </c>
      <c r="O40" s="321">
        <v>4</v>
      </c>
      <c r="P40" s="321">
        <v>11</v>
      </c>
      <c r="Q40" s="321">
        <v>6</v>
      </c>
      <c r="R40" s="321">
        <v>47</v>
      </c>
      <c r="S40" s="321">
        <v>4</v>
      </c>
      <c r="T40" s="321">
        <v>0</v>
      </c>
      <c r="U40" s="321">
        <v>1</v>
      </c>
      <c r="V40" s="321">
        <v>7</v>
      </c>
      <c r="W40" s="321">
        <v>2</v>
      </c>
      <c r="X40" s="321">
        <v>2</v>
      </c>
      <c r="Y40" s="321">
        <v>1</v>
      </c>
      <c r="Z40" s="321">
        <v>1</v>
      </c>
      <c r="AA40" s="321">
        <v>3</v>
      </c>
      <c r="AB40" s="321">
        <v>1</v>
      </c>
      <c r="AC40" s="321">
        <v>3</v>
      </c>
      <c r="AD40" s="322">
        <v>1</v>
      </c>
      <c r="AE40" s="322">
        <v>0</v>
      </c>
      <c r="AF40" s="322">
        <v>3</v>
      </c>
      <c r="AG40" s="322">
        <v>2</v>
      </c>
      <c r="AH40" s="322">
        <v>3</v>
      </c>
      <c r="AI40" s="322">
        <v>1</v>
      </c>
      <c r="AJ40" s="323">
        <v>8</v>
      </c>
      <c r="AK40" s="322">
        <v>10</v>
      </c>
      <c r="AL40" s="324">
        <v>3</v>
      </c>
      <c r="AM40" s="322">
        <v>1</v>
      </c>
      <c r="AN40" s="322">
        <v>1</v>
      </c>
      <c r="AO40" s="323">
        <v>0</v>
      </c>
      <c r="AP40" s="325">
        <v>3.3</v>
      </c>
      <c r="AQ40" s="314"/>
      <c r="AR40" s="233"/>
    </row>
    <row r="41" spans="1:44" ht="13.5" customHeight="1">
      <c r="A41" s="233"/>
      <c r="B41" s="262"/>
      <c r="C41" s="276" t="s">
        <v>7</v>
      </c>
      <c r="D41" s="300">
        <f t="shared" ca="1" si="3"/>
        <v>0</v>
      </c>
      <c r="E41" s="301"/>
      <c r="F41" s="302">
        <f t="shared" ca="1" si="1"/>
        <v>2.87</v>
      </c>
      <c r="G41" s="315"/>
      <c r="H41" s="316"/>
      <c r="I41" s="317"/>
      <c r="J41" s="318">
        <f t="shared" ca="1" si="2"/>
        <v>2.34</v>
      </c>
      <c r="K41" s="319"/>
      <c r="L41" s="320"/>
      <c r="M41" s="288"/>
      <c r="N41" s="284" t="s">
        <v>7</v>
      </c>
      <c r="O41" s="321">
        <v>26</v>
      </c>
      <c r="P41" s="321">
        <v>9</v>
      </c>
      <c r="Q41" s="321">
        <v>16</v>
      </c>
      <c r="R41" s="321">
        <v>22</v>
      </c>
      <c r="S41" s="321">
        <v>2</v>
      </c>
      <c r="T41" s="321">
        <v>0</v>
      </c>
      <c r="U41" s="321">
        <v>0</v>
      </c>
      <c r="V41" s="321">
        <v>11</v>
      </c>
      <c r="W41" s="321">
        <v>9</v>
      </c>
      <c r="X41" s="321">
        <v>2</v>
      </c>
      <c r="Y41" s="321">
        <v>1</v>
      </c>
      <c r="Z41" s="321">
        <v>2</v>
      </c>
      <c r="AA41" s="321">
        <v>3</v>
      </c>
      <c r="AB41" s="321">
        <v>3</v>
      </c>
      <c r="AC41" s="321">
        <v>3</v>
      </c>
      <c r="AD41" s="322">
        <v>0</v>
      </c>
      <c r="AE41" s="322">
        <v>1</v>
      </c>
      <c r="AF41" s="322">
        <v>2</v>
      </c>
      <c r="AG41" s="322">
        <v>1</v>
      </c>
      <c r="AH41" s="322">
        <v>3</v>
      </c>
      <c r="AI41" s="322">
        <v>0</v>
      </c>
      <c r="AJ41" s="323">
        <v>3</v>
      </c>
      <c r="AK41" s="322">
        <v>10</v>
      </c>
      <c r="AL41" s="324">
        <v>7</v>
      </c>
      <c r="AM41" s="322">
        <v>1</v>
      </c>
      <c r="AN41" s="322">
        <v>1</v>
      </c>
      <c r="AO41" s="323">
        <v>0</v>
      </c>
      <c r="AP41" s="325">
        <v>2.7</v>
      </c>
      <c r="AQ41" s="314"/>
      <c r="AR41" s="233"/>
    </row>
    <row r="42" spans="1:44" ht="13.5" customHeight="1" thickBot="1">
      <c r="A42" s="233"/>
      <c r="B42" s="262"/>
      <c r="C42" s="225" t="s">
        <v>8</v>
      </c>
      <c r="D42" s="329">
        <f t="shared" ca="1" si="3"/>
        <v>0</v>
      </c>
      <c r="E42" s="330"/>
      <c r="F42" s="331">
        <f t="shared" ca="1" si="1"/>
        <v>3.383</v>
      </c>
      <c r="G42" s="332"/>
      <c r="H42" s="333"/>
      <c r="I42" s="334"/>
      <c r="J42" s="335">
        <f t="shared" ca="1" si="2"/>
        <v>0.36599999999999999</v>
      </c>
      <c r="K42" s="336"/>
      <c r="L42" s="320"/>
      <c r="M42" s="288"/>
      <c r="N42" s="298" t="s">
        <v>8</v>
      </c>
      <c r="O42" s="338">
        <v>6</v>
      </c>
      <c r="P42" s="338">
        <v>0</v>
      </c>
      <c r="Q42" s="338">
        <v>0</v>
      </c>
      <c r="R42" s="338">
        <v>15</v>
      </c>
      <c r="S42" s="338">
        <v>2</v>
      </c>
      <c r="T42" s="338">
        <v>1</v>
      </c>
      <c r="U42" s="338">
        <v>0</v>
      </c>
      <c r="V42" s="338">
        <v>27</v>
      </c>
      <c r="W42" s="338">
        <v>4</v>
      </c>
      <c r="X42" s="338">
        <v>0</v>
      </c>
      <c r="Y42" s="338">
        <v>0</v>
      </c>
      <c r="Z42" s="338">
        <v>4</v>
      </c>
      <c r="AA42" s="338">
        <v>4</v>
      </c>
      <c r="AB42" s="338">
        <v>3</v>
      </c>
      <c r="AC42" s="338">
        <v>6</v>
      </c>
      <c r="AD42" s="339">
        <v>1</v>
      </c>
      <c r="AE42" s="339">
        <v>1</v>
      </c>
      <c r="AF42" s="339">
        <v>1</v>
      </c>
      <c r="AG42" s="339">
        <v>2</v>
      </c>
      <c r="AH42" s="339">
        <v>12</v>
      </c>
      <c r="AI42" s="339">
        <v>2</v>
      </c>
      <c r="AJ42" s="340">
        <v>6</v>
      </c>
      <c r="AK42" s="339">
        <v>10</v>
      </c>
      <c r="AL42" s="341">
        <v>0</v>
      </c>
      <c r="AM42" s="339">
        <v>0.83</v>
      </c>
      <c r="AN42" s="339">
        <v>0</v>
      </c>
      <c r="AO42" s="340">
        <v>0</v>
      </c>
      <c r="AP42" s="342">
        <v>1</v>
      </c>
      <c r="AQ42" s="314"/>
      <c r="AR42" s="233"/>
    </row>
    <row r="43" spans="1:44" ht="13.5" customHeight="1">
      <c r="A43" s="233"/>
      <c r="B43" s="343"/>
      <c r="C43" s="263" t="s">
        <v>2</v>
      </c>
      <c r="D43" s="300">
        <f t="shared" ca="1" si="3"/>
        <v>0</v>
      </c>
      <c r="E43" s="301"/>
      <c r="F43" s="302">
        <f t="shared" ca="1" si="1"/>
        <v>3.87</v>
      </c>
      <c r="G43" s="315"/>
      <c r="H43" s="344"/>
      <c r="I43" s="345"/>
      <c r="J43" s="346">
        <f t="shared" ca="1" si="2"/>
        <v>0.13999999999999999</v>
      </c>
      <c r="K43" s="319"/>
      <c r="L43" s="320"/>
      <c r="M43" s="219"/>
      <c r="N43" s="272" t="s">
        <v>2</v>
      </c>
      <c r="O43" s="348">
        <v>6</v>
      </c>
      <c r="P43" s="348">
        <v>2</v>
      </c>
      <c r="Q43" s="348">
        <v>1</v>
      </c>
      <c r="R43" s="348">
        <v>13</v>
      </c>
      <c r="S43" s="348">
        <v>15</v>
      </c>
      <c r="T43" s="348">
        <v>1</v>
      </c>
      <c r="U43" s="348">
        <v>0</v>
      </c>
      <c r="V43" s="348">
        <v>10</v>
      </c>
      <c r="W43" s="348">
        <v>3</v>
      </c>
      <c r="X43" s="348">
        <v>1</v>
      </c>
      <c r="Y43" s="348">
        <v>0</v>
      </c>
      <c r="Z43" s="348">
        <v>3</v>
      </c>
      <c r="AA43" s="348">
        <v>8</v>
      </c>
      <c r="AB43" s="348">
        <v>5</v>
      </c>
      <c r="AC43" s="348">
        <v>5</v>
      </c>
      <c r="AD43" s="349">
        <v>0</v>
      </c>
      <c r="AE43" s="349">
        <v>0</v>
      </c>
      <c r="AF43" s="349">
        <v>2</v>
      </c>
      <c r="AG43" s="349">
        <v>8</v>
      </c>
      <c r="AH43" s="349">
        <v>7</v>
      </c>
      <c r="AI43" s="349">
        <v>4</v>
      </c>
      <c r="AJ43" s="350">
        <v>9</v>
      </c>
      <c r="AK43" s="349">
        <v>10</v>
      </c>
      <c r="AL43" s="351">
        <v>0</v>
      </c>
      <c r="AM43" s="349">
        <v>0</v>
      </c>
      <c r="AN43" s="349">
        <v>0</v>
      </c>
      <c r="AO43" s="350">
        <v>0.7</v>
      </c>
      <c r="AP43" s="313">
        <v>0</v>
      </c>
      <c r="AQ43" s="314"/>
      <c r="AR43" s="233"/>
    </row>
    <row r="44" spans="1:44" ht="13.5" customHeight="1">
      <c r="A44" s="233"/>
      <c r="B44" s="262"/>
      <c r="C44" s="276" t="s">
        <v>3</v>
      </c>
      <c r="D44" s="300">
        <f t="shared" ca="1" si="3"/>
        <v>0</v>
      </c>
      <c r="E44" s="301"/>
      <c r="F44" s="302">
        <f t="shared" ca="1" si="1"/>
        <v>2.113</v>
      </c>
      <c r="G44" s="315"/>
      <c r="H44" s="316"/>
      <c r="I44" s="317"/>
      <c r="J44" s="318">
        <f t="shared" ca="1" si="2"/>
        <v>0.82599999999999996</v>
      </c>
      <c r="K44" s="319"/>
      <c r="L44" s="320"/>
      <c r="M44" s="288"/>
      <c r="N44" s="284" t="s">
        <v>3</v>
      </c>
      <c r="O44" s="321">
        <v>10</v>
      </c>
      <c r="P44" s="321">
        <v>0</v>
      </c>
      <c r="Q44" s="321">
        <v>1</v>
      </c>
      <c r="R44" s="321">
        <v>3</v>
      </c>
      <c r="S44" s="321">
        <v>13</v>
      </c>
      <c r="T44" s="321">
        <v>0</v>
      </c>
      <c r="U44" s="321">
        <v>1</v>
      </c>
      <c r="V44" s="321">
        <v>2</v>
      </c>
      <c r="W44" s="321">
        <v>4</v>
      </c>
      <c r="X44" s="321">
        <v>0</v>
      </c>
      <c r="Y44" s="321">
        <v>1</v>
      </c>
      <c r="Z44" s="321">
        <v>2</v>
      </c>
      <c r="AA44" s="321">
        <v>15</v>
      </c>
      <c r="AB44" s="321">
        <v>5</v>
      </c>
      <c r="AC44" s="321">
        <v>4</v>
      </c>
      <c r="AD44" s="322">
        <v>1</v>
      </c>
      <c r="AE44" s="322">
        <v>0</v>
      </c>
      <c r="AF44" s="322">
        <v>0</v>
      </c>
      <c r="AG44" s="322">
        <v>5</v>
      </c>
      <c r="AH44" s="322">
        <v>3</v>
      </c>
      <c r="AI44" s="322">
        <v>1</v>
      </c>
      <c r="AJ44" s="323">
        <v>6</v>
      </c>
      <c r="AK44" s="322">
        <v>2</v>
      </c>
      <c r="AL44" s="324">
        <v>0</v>
      </c>
      <c r="AM44" s="322">
        <v>2</v>
      </c>
      <c r="AN44" s="322">
        <v>0.83</v>
      </c>
      <c r="AO44" s="323">
        <v>1.3</v>
      </c>
      <c r="AP44" s="325">
        <v>0</v>
      </c>
      <c r="AQ44" s="314"/>
      <c r="AR44" s="233"/>
    </row>
    <row r="45" spans="1:44" ht="13.5" customHeight="1">
      <c r="A45" s="233"/>
      <c r="B45" s="262" t="s">
        <v>147</v>
      </c>
      <c r="C45" s="276" t="s">
        <v>5</v>
      </c>
      <c r="D45" s="300">
        <f t="shared" ca="1" si="3"/>
        <v>0</v>
      </c>
      <c r="E45" s="301"/>
      <c r="F45" s="302">
        <f t="shared" ca="1" si="1"/>
        <v>1.417</v>
      </c>
      <c r="G45" s="315"/>
      <c r="H45" s="316"/>
      <c r="I45" s="317"/>
      <c r="J45" s="318">
        <f t="shared" ca="1" si="2"/>
        <v>3.4000000000000002E-2</v>
      </c>
      <c r="K45" s="319"/>
      <c r="L45" s="320"/>
      <c r="M45" s="288" t="s">
        <v>12</v>
      </c>
      <c r="N45" s="284" t="s">
        <v>5</v>
      </c>
      <c r="O45" s="321">
        <v>6</v>
      </c>
      <c r="P45" s="321">
        <v>9</v>
      </c>
      <c r="Q45" s="321">
        <v>1</v>
      </c>
      <c r="R45" s="321">
        <v>1</v>
      </c>
      <c r="S45" s="321">
        <v>10</v>
      </c>
      <c r="T45" s="321">
        <v>1</v>
      </c>
      <c r="U45" s="321">
        <v>1</v>
      </c>
      <c r="V45" s="321">
        <v>2</v>
      </c>
      <c r="W45" s="321">
        <v>1</v>
      </c>
      <c r="X45" s="321">
        <v>0</v>
      </c>
      <c r="Y45" s="321">
        <v>0</v>
      </c>
      <c r="Z45" s="321">
        <v>4</v>
      </c>
      <c r="AA45" s="321">
        <v>9</v>
      </c>
      <c r="AB45" s="321">
        <v>3</v>
      </c>
      <c r="AC45" s="321">
        <v>2</v>
      </c>
      <c r="AD45" s="322">
        <v>1</v>
      </c>
      <c r="AE45" s="322">
        <v>1</v>
      </c>
      <c r="AF45" s="322">
        <v>1</v>
      </c>
      <c r="AG45" s="322">
        <v>1</v>
      </c>
      <c r="AH45" s="322">
        <v>1</v>
      </c>
      <c r="AI45" s="322">
        <v>8</v>
      </c>
      <c r="AJ45" s="323">
        <v>1</v>
      </c>
      <c r="AK45" s="322">
        <v>3</v>
      </c>
      <c r="AL45" s="324">
        <v>0</v>
      </c>
      <c r="AM45" s="322">
        <v>0</v>
      </c>
      <c r="AN45" s="322">
        <v>0.17</v>
      </c>
      <c r="AO45" s="323">
        <v>0</v>
      </c>
      <c r="AP45" s="325">
        <v>0</v>
      </c>
      <c r="AQ45" s="314"/>
      <c r="AR45" s="233"/>
    </row>
    <row r="46" spans="1:44" ht="13.5" customHeight="1">
      <c r="A46" s="233"/>
      <c r="B46" s="262"/>
      <c r="C46" s="276" t="s">
        <v>6</v>
      </c>
      <c r="D46" s="300">
        <f t="shared" ca="1" si="3"/>
        <v>0</v>
      </c>
      <c r="E46" s="301"/>
      <c r="F46" s="302">
        <f t="shared" ca="1" si="1"/>
        <v>0.9</v>
      </c>
      <c r="G46" s="315"/>
      <c r="H46" s="316"/>
      <c r="I46" s="317"/>
      <c r="J46" s="318">
        <f t="shared" ca="1" si="2"/>
        <v>0.6</v>
      </c>
      <c r="K46" s="319"/>
      <c r="L46" s="320"/>
      <c r="M46" s="288"/>
      <c r="N46" s="284" t="s">
        <v>6</v>
      </c>
      <c r="O46" s="321">
        <v>6</v>
      </c>
      <c r="P46" s="321">
        <v>2</v>
      </c>
      <c r="Q46" s="321">
        <v>3</v>
      </c>
      <c r="R46" s="321">
        <v>2</v>
      </c>
      <c r="S46" s="321">
        <v>10</v>
      </c>
      <c r="T46" s="321">
        <v>5</v>
      </c>
      <c r="U46" s="321">
        <v>0</v>
      </c>
      <c r="V46" s="321">
        <v>1</v>
      </c>
      <c r="W46" s="321">
        <v>2</v>
      </c>
      <c r="X46" s="321">
        <v>3</v>
      </c>
      <c r="Y46" s="321">
        <v>3</v>
      </c>
      <c r="Z46" s="321">
        <v>4</v>
      </c>
      <c r="AA46" s="321">
        <v>3</v>
      </c>
      <c r="AB46" s="321">
        <v>2</v>
      </c>
      <c r="AC46" s="321">
        <v>2</v>
      </c>
      <c r="AD46" s="322">
        <v>1</v>
      </c>
      <c r="AE46" s="322">
        <v>1</v>
      </c>
      <c r="AF46" s="322">
        <v>2</v>
      </c>
      <c r="AG46" s="322">
        <v>1</v>
      </c>
      <c r="AH46" s="322">
        <v>1</v>
      </c>
      <c r="AI46" s="322">
        <v>1</v>
      </c>
      <c r="AJ46" s="323">
        <v>2</v>
      </c>
      <c r="AK46" s="322">
        <v>1</v>
      </c>
      <c r="AL46" s="324">
        <v>1</v>
      </c>
      <c r="AM46" s="322">
        <v>0</v>
      </c>
      <c r="AN46" s="322">
        <v>0</v>
      </c>
      <c r="AO46" s="323">
        <v>0</v>
      </c>
      <c r="AP46" s="325">
        <v>2</v>
      </c>
      <c r="AQ46" s="314"/>
      <c r="AR46" s="233"/>
    </row>
    <row r="47" spans="1:44" ht="13.5" customHeight="1">
      <c r="A47" s="233"/>
      <c r="B47" s="262"/>
      <c r="C47" s="276" t="s">
        <v>7</v>
      </c>
      <c r="D47" s="300">
        <f t="shared" ca="1" si="3"/>
        <v>0</v>
      </c>
      <c r="E47" s="301"/>
      <c r="F47" s="302">
        <f t="shared" ca="1" si="1"/>
        <v>1.1000000000000001</v>
      </c>
      <c r="G47" s="315"/>
      <c r="H47" s="316"/>
      <c r="I47" s="317"/>
      <c r="J47" s="318">
        <f t="shared" ca="1" si="2"/>
        <v>0.4</v>
      </c>
      <c r="K47" s="319"/>
      <c r="L47" s="320"/>
      <c r="M47" s="288"/>
      <c r="N47" s="284" t="s">
        <v>7</v>
      </c>
      <c r="O47" s="321">
        <v>3</v>
      </c>
      <c r="P47" s="321">
        <v>12</v>
      </c>
      <c r="Q47" s="321">
        <v>5</v>
      </c>
      <c r="R47" s="321">
        <v>0</v>
      </c>
      <c r="S47" s="321">
        <v>4</v>
      </c>
      <c r="T47" s="321">
        <v>2</v>
      </c>
      <c r="U47" s="321">
        <v>0</v>
      </c>
      <c r="V47" s="321">
        <v>1</v>
      </c>
      <c r="W47" s="321">
        <v>2</v>
      </c>
      <c r="X47" s="321">
        <v>0</v>
      </c>
      <c r="Y47" s="321">
        <v>5</v>
      </c>
      <c r="Z47" s="321">
        <v>6</v>
      </c>
      <c r="AA47" s="321">
        <v>0</v>
      </c>
      <c r="AB47" s="321">
        <v>1</v>
      </c>
      <c r="AC47" s="321">
        <v>3</v>
      </c>
      <c r="AD47" s="322">
        <v>0</v>
      </c>
      <c r="AE47" s="322">
        <v>0</v>
      </c>
      <c r="AF47" s="322">
        <v>0</v>
      </c>
      <c r="AG47" s="322">
        <v>2</v>
      </c>
      <c r="AH47" s="322">
        <v>0</v>
      </c>
      <c r="AI47" s="322">
        <v>6</v>
      </c>
      <c r="AJ47" s="323">
        <v>1</v>
      </c>
      <c r="AK47" s="322">
        <v>0</v>
      </c>
      <c r="AL47" s="324">
        <v>1</v>
      </c>
      <c r="AM47" s="322">
        <v>0</v>
      </c>
      <c r="AN47" s="322">
        <v>0</v>
      </c>
      <c r="AO47" s="323">
        <v>0</v>
      </c>
      <c r="AP47" s="325">
        <v>1</v>
      </c>
      <c r="AQ47" s="314"/>
      <c r="AR47" s="233"/>
    </row>
    <row r="48" spans="1:44" ht="13.5" customHeight="1" thickBot="1">
      <c r="A48" s="233"/>
      <c r="B48" s="290"/>
      <c r="C48" s="225" t="s">
        <v>8</v>
      </c>
      <c r="D48" s="329">
        <f t="shared" ca="1" si="3"/>
        <v>0</v>
      </c>
      <c r="E48" s="330"/>
      <c r="F48" s="331">
        <f t="shared" ca="1" si="1"/>
        <v>0.37</v>
      </c>
      <c r="G48" s="332"/>
      <c r="H48" s="333"/>
      <c r="I48" s="334"/>
      <c r="J48" s="335">
        <f t="shared" ca="1" si="2"/>
        <v>0.13999999999999999</v>
      </c>
      <c r="K48" s="336"/>
      <c r="L48" s="320"/>
      <c r="M48" s="337"/>
      <c r="N48" s="298" t="s">
        <v>8</v>
      </c>
      <c r="O48" s="354">
        <v>6</v>
      </c>
      <c r="P48" s="354">
        <v>11</v>
      </c>
      <c r="Q48" s="354">
        <v>4</v>
      </c>
      <c r="R48" s="354">
        <v>0</v>
      </c>
      <c r="S48" s="354">
        <v>4</v>
      </c>
      <c r="T48" s="354">
        <v>1</v>
      </c>
      <c r="U48" s="354">
        <v>0</v>
      </c>
      <c r="V48" s="354">
        <v>1</v>
      </c>
      <c r="W48" s="354">
        <v>2</v>
      </c>
      <c r="X48" s="354">
        <v>3</v>
      </c>
      <c r="Y48" s="354">
        <v>8</v>
      </c>
      <c r="Z48" s="354">
        <v>1</v>
      </c>
      <c r="AA48" s="354">
        <v>0</v>
      </c>
      <c r="AB48" s="354">
        <v>3</v>
      </c>
      <c r="AC48" s="354">
        <v>3</v>
      </c>
      <c r="AD48" s="326">
        <v>0</v>
      </c>
      <c r="AE48" s="326">
        <v>0</v>
      </c>
      <c r="AF48" s="326">
        <v>0</v>
      </c>
      <c r="AG48" s="326">
        <v>0</v>
      </c>
      <c r="AH48" s="326">
        <v>1</v>
      </c>
      <c r="AI48" s="326">
        <v>1</v>
      </c>
      <c r="AJ48" s="327">
        <v>1</v>
      </c>
      <c r="AK48" s="326">
        <v>0</v>
      </c>
      <c r="AL48" s="328">
        <v>0</v>
      </c>
      <c r="AM48" s="326">
        <v>0</v>
      </c>
      <c r="AN48" s="326">
        <v>0</v>
      </c>
      <c r="AO48" s="327">
        <v>0</v>
      </c>
      <c r="AP48" s="342">
        <v>0.7</v>
      </c>
      <c r="AQ48" s="314"/>
      <c r="AR48" s="233"/>
    </row>
    <row r="49" spans="1:44" ht="13.5" customHeight="1">
      <c r="A49" s="233"/>
      <c r="B49" s="262"/>
      <c r="C49" s="263" t="s">
        <v>2</v>
      </c>
      <c r="D49" s="300">
        <f t="shared" ca="1" si="3"/>
        <v>0</v>
      </c>
      <c r="E49" s="301"/>
      <c r="F49" s="302">
        <f t="shared" ca="1" si="1"/>
        <v>1.4300000000000002</v>
      </c>
      <c r="G49" s="315"/>
      <c r="H49" s="344"/>
      <c r="I49" s="345"/>
      <c r="J49" s="346">
        <f t="shared" ca="1" si="2"/>
        <v>0.45999999999999996</v>
      </c>
      <c r="K49" s="319"/>
      <c r="L49" s="320"/>
      <c r="M49" s="288"/>
      <c r="N49" s="272" t="s">
        <v>2</v>
      </c>
      <c r="O49" s="309">
        <v>3</v>
      </c>
      <c r="P49" s="309">
        <v>12</v>
      </c>
      <c r="Q49" s="309">
        <v>14</v>
      </c>
      <c r="R49" s="309">
        <v>1</v>
      </c>
      <c r="S49" s="309">
        <v>1</v>
      </c>
      <c r="T49" s="309">
        <v>1</v>
      </c>
      <c r="U49" s="309">
        <v>0</v>
      </c>
      <c r="V49" s="309">
        <v>0</v>
      </c>
      <c r="W49" s="309">
        <v>2</v>
      </c>
      <c r="X49" s="309">
        <v>11</v>
      </c>
      <c r="Y49" s="309">
        <v>12</v>
      </c>
      <c r="Z49" s="309">
        <v>2</v>
      </c>
      <c r="AA49" s="309">
        <v>0</v>
      </c>
      <c r="AB49" s="309">
        <v>1</v>
      </c>
      <c r="AC49" s="309">
        <v>1</v>
      </c>
      <c r="AD49" s="310">
        <v>0</v>
      </c>
      <c r="AE49" s="310">
        <v>0</v>
      </c>
      <c r="AF49" s="310">
        <v>0</v>
      </c>
      <c r="AG49" s="310">
        <v>4</v>
      </c>
      <c r="AH49" s="310">
        <v>0</v>
      </c>
      <c r="AI49" s="310">
        <v>6</v>
      </c>
      <c r="AJ49" s="311">
        <v>0</v>
      </c>
      <c r="AK49" s="310">
        <v>2</v>
      </c>
      <c r="AL49" s="312">
        <v>1</v>
      </c>
      <c r="AM49" s="310">
        <v>0</v>
      </c>
      <c r="AN49" s="310">
        <v>1</v>
      </c>
      <c r="AO49" s="311">
        <v>0</v>
      </c>
      <c r="AP49" s="313">
        <v>0.3</v>
      </c>
      <c r="AQ49" s="314"/>
      <c r="AR49" s="233"/>
    </row>
    <row r="50" spans="1:44" ht="13.5" customHeight="1">
      <c r="A50" s="233"/>
      <c r="B50" s="262"/>
      <c r="C50" s="276" t="s">
        <v>3</v>
      </c>
      <c r="D50" s="300">
        <f t="shared" ca="1" si="3"/>
        <v>0</v>
      </c>
      <c r="E50" s="301"/>
      <c r="F50" s="302">
        <f t="shared" ca="1" si="1"/>
        <v>1.127</v>
      </c>
      <c r="G50" s="315"/>
      <c r="H50" s="316"/>
      <c r="I50" s="317"/>
      <c r="J50" s="318">
        <f t="shared" ca="1" si="2"/>
        <v>1.0539999999999998</v>
      </c>
      <c r="K50" s="319"/>
      <c r="L50" s="320"/>
      <c r="M50" s="288"/>
      <c r="N50" s="284" t="s">
        <v>3</v>
      </c>
      <c r="O50" s="321">
        <v>3</v>
      </c>
      <c r="P50" s="321">
        <v>18</v>
      </c>
      <c r="Q50" s="321">
        <v>9</v>
      </c>
      <c r="R50" s="321">
        <v>0</v>
      </c>
      <c r="S50" s="321">
        <v>2</v>
      </c>
      <c r="T50" s="321">
        <v>0</v>
      </c>
      <c r="U50" s="321">
        <v>0</v>
      </c>
      <c r="V50" s="321">
        <v>0</v>
      </c>
      <c r="W50" s="321">
        <v>0</v>
      </c>
      <c r="X50" s="321">
        <v>2</v>
      </c>
      <c r="Y50" s="321">
        <v>9</v>
      </c>
      <c r="Z50" s="321">
        <v>0</v>
      </c>
      <c r="AA50" s="321">
        <v>0</v>
      </c>
      <c r="AB50" s="321">
        <v>2</v>
      </c>
      <c r="AC50" s="321">
        <v>2</v>
      </c>
      <c r="AD50" s="322">
        <v>1</v>
      </c>
      <c r="AE50" s="322">
        <v>1</v>
      </c>
      <c r="AF50" s="322">
        <v>1</v>
      </c>
      <c r="AG50" s="322">
        <v>1</v>
      </c>
      <c r="AH50" s="322">
        <v>0</v>
      </c>
      <c r="AI50" s="322">
        <v>2</v>
      </c>
      <c r="AJ50" s="323">
        <v>1</v>
      </c>
      <c r="AK50" s="322">
        <v>2</v>
      </c>
      <c r="AL50" s="324">
        <v>2</v>
      </c>
      <c r="AM50" s="322">
        <v>1</v>
      </c>
      <c r="AN50" s="322">
        <v>1.67</v>
      </c>
      <c r="AO50" s="323">
        <v>0.6</v>
      </c>
      <c r="AP50" s="325">
        <v>0</v>
      </c>
      <c r="AQ50" s="314"/>
      <c r="AR50" s="233"/>
    </row>
    <row r="51" spans="1:44" ht="13.5" customHeight="1">
      <c r="A51" s="233"/>
      <c r="B51" s="262" t="s">
        <v>148</v>
      </c>
      <c r="C51" s="276" t="s">
        <v>5</v>
      </c>
      <c r="D51" s="300">
        <f t="shared" ca="1" si="3"/>
        <v>0</v>
      </c>
      <c r="E51" s="301"/>
      <c r="F51" s="302">
        <f t="shared" ca="1" si="1"/>
        <v>0.44000000000000006</v>
      </c>
      <c r="G51" s="315"/>
      <c r="H51" s="316"/>
      <c r="I51" s="317"/>
      <c r="J51" s="318">
        <f t="shared" ca="1" si="2"/>
        <v>0.48</v>
      </c>
      <c r="K51" s="319"/>
      <c r="L51" s="320"/>
      <c r="M51" s="288" t="s">
        <v>13</v>
      </c>
      <c r="N51" s="284" t="s">
        <v>5</v>
      </c>
      <c r="O51" s="321">
        <v>3</v>
      </c>
      <c r="P51" s="321">
        <v>9</v>
      </c>
      <c r="Q51" s="321">
        <v>7</v>
      </c>
      <c r="R51" s="321">
        <v>5</v>
      </c>
      <c r="S51" s="321">
        <v>1</v>
      </c>
      <c r="T51" s="321">
        <v>0</v>
      </c>
      <c r="U51" s="321">
        <v>0</v>
      </c>
      <c r="V51" s="321">
        <v>1</v>
      </c>
      <c r="W51" s="321">
        <v>0</v>
      </c>
      <c r="X51" s="321">
        <v>1</v>
      </c>
      <c r="Y51" s="321">
        <v>10</v>
      </c>
      <c r="Z51" s="321">
        <v>0</v>
      </c>
      <c r="AA51" s="321">
        <v>0</v>
      </c>
      <c r="AB51" s="321">
        <v>1</v>
      </c>
      <c r="AC51" s="321">
        <v>2</v>
      </c>
      <c r="AD51" s="322">
        <v>1</v>
      </c>
      <c r="AE51" s="322">
        <v>0</v>
      </c>
      <c r="AF51" s="322">
        <v>0</v>
      </c>
      <c r="AG51" s="322">
        <v>0</v>
      </c>
      <c r="AH51" s="322">
        <v>0</v>
      </c>
      <c r="AI51" s="322">
        <v>1</v>
      </c>
      <c r="AJ51" s="323">
        <v>1</v>
      </c>
      <c r="AK51" s="322">
        <v>0</v>
      </c>
      <c r="AL51" s="324">
        <v>2</v>
      </c>
      <c r="AM51" s="322">
        <v>0</v>
      </c>
      <c r="AN51" s="322">
        <v>0</v>
      </c>
      <c r="AO51" s="323">
        <v>0.4</v>
      </c>
      <c r="AP51" s="325">
        <v>0</v>
      </c>
      <c r="AQ51" s="314"/>
      <c r="AR51" s="233"/>
    </row>
    <row r="52" spans="1:44" ht="13.5" customHeight="1">
      <c r="A52" s="233"/>
      <c r="B52" s="262"/>
      <c r="C52" s="276" t="s">
        <v>6</v>
      </c>
      <c r="D52" s="300">
        <f t="shared" ca="1" si="3"/>
        <v>0</v>
      </c>
      <c r="E52" s="301"/>
      <c r="F52" s="302">
        <f t="shared" ca="1" si="1"/>
        <v>0.9</v>
      </c>
      <c r="G52" s="315"/>
      <c r="H52" s="316"/>
      <c r="I52" s="317"/>
      <c r="J52" s="318">
        <f t="shared" ca="1" si="2"/>
        <v>0.4</v>
      </c>
      <c r="K52" s="319"/>
      <c r="L52" s="320"/>
      <c r="M52" s="288"/>
      <c r="N52" s="284" t="s">
        <v>6</v>
      </c>
      <c r="O52" s="321">
        <v>1</v>
      </c>
      <c r="P52" s="321">
        <v>1</v>
      </c>
      <c r="Q52" s="321">
        <v>3</v>
      </c>
      <c r="R52" s="321">
        <v>3</v>
      </c>
      <c r="S52" s="321">
        <v>3</v>
      </c>
      <c r="T52" s="321">
        <v>0</v>
      </c>
      <c r="U52" s="321">
        <v>0</v>
      </c>
      <c r="V52" s="321">
        <v>1</v>
      </c>
      <c r="W52" s="321">
        <v>0</v>
      </c>
      <c r="X52" s="321">
        <v>1</v>
      </c>
      <c r="Y52" s="321">
        <v>0</v>
      </c>
      <c r="Z52" s="321">
        <v>1</v>
      </c>
      <c r="AA52" s="321">
        <v>0</v>
      </c>
      <c r="AB52" s="321">
        <v>1</v>
      </c>
      <c r="AC52" s="321">
        <v>1</v>
      </c>
      <c r="AD52" s="322">
        <v>0</v>
      </c>
      <c r="AE52" s="322">
        <v>0</v>
      </c>
      <c r="AF52" s="322">
        <v>0</v>
      </c>
      <c r="AG52" s="322">
        <v>0</v>
      </c>
      <c r="AH52" s="322">
        <v>3</v>
      </c>
      <c r="AI52" s="322">
        <v>1</v>
      </c>
      <c r="AJ52" s="323">
        <v>3</v>
      </c>
      <c r="AK52" s="322">
        <v>0</v>
      </c>
      <c r="AL52" s="324">
        <v>0</v>
      </c>
      <c r="AM52" s="322">
        <v>0</v>
      </c>
      <c r="AN52" s="322">
        <v>0</v>
      </c>
      <c r="AO52" s="323">
        <v>1</v>
      </c>
      <c r="AP52" s="325">
        <v>1</v>
      </c>
      <c r="AQ52" s="314"/>
      <c r="AR52" s="233"/>
    </row>
    <row r="53" spans="1:44" ht="13.5" customHeight="1">
      <c r="A53" s="233"/>
      <c r="B53" s="262"/>
      <c r="C53" s="276" t="s">
        <v>7</v>
      </c>
      <c r="D53" s="300">
        <f t="shared" ca="1" si="3"/>
        <v>0</v>
      </c>
      <c r="E53" s="301"/>
      <c r="F53" s="302">
        <f t="shared" ca="1" si="1"/>
        <v>0.33500000000000002</v>
      </c>
      <c r="G53" s="315"/>
      <c r="H53" s="316"/>
      <c r="I53" s="317"/>
      <c r="J53" s="318">
        <f t="shared" ca="1" si="2"/>
        <v>0.27</v>
      </c>
      <c r="K53" s="319"/>
      <c r="L53" s="320"/>
      <c r="M53" s="288"/>
      <c r="N53" s="284" t="s">
        <v>7</v>
      </c>
      <c r="O53" s="321">
        <v>0</v>
      </c>
      <c r="P53" s="321">
        <v>0</v>
      </c>
      <c r="Q53" s="321">
        <v>0</v>
      </c>
      <c r="R53" s="321">
        <v>1</v>
      </c>
      <c r="S53" s="321">
        <v>2</v>
      </c>
      <c r="T53" s="321">
        <v>0</v>
      </c>
      <c r="U53" s="321">
        <v>0</v>
      </c>
      <c r="V53" s="321">
        <v>1</v>
      </c>
      <c r="W53" s="321">
        <v>3</v>
      </c>
      <c r="X53" s="321">
        <v>1</v>
      </c>
      <c r="Y53" s="321">
        <v>0</v>
      </c>
      <c r="Z53" s="321">
        <v>0</v>
      </c>
      <c r="AA53" s="321">
        <v>1</v>
      </c>
      <c r="AB53" s="321">
        <v>1</v>
      </c>
      <c r="AC53" s="321">
        <v>1</v>
      </c>
      <c r="AD53" s="322">
        <v>0</v>
      </c>
      <c r="AE53" s="322">
        <v>0</v>
      </c>
      <c r="AF53" s="322">
        <v>0</v>
      </c>
      <c r="AG53" s="322">
        <v>0</v>
      </c>
      <c r="AH53" s="322">
        <v>1</v>
      </c>
      <c r="AI53" s="322">
        <v>0</v>
      </c>
      <c r="AJ53" s="323">
        <v>1</v>
      </c>
      <c r="AK53" s="322">
        <v>0</v>
      </c>
      <c r="AL53" s="324">
        <v>0</v>
      </c>
      <c r="AM53" s="322">
        <v>0</v>
      </c>
      <c r="AN53" s="322">
        <v>0</v>
      </c>
      <c r="AO53" s="323">
        <v>1.25</v>
      </c>
      <c r="AP53" s="325">
        <v>0.1</v>
      </c>
      <c r="AQ53" s="314"/>
      <c r="AR53" s="233"/>
    </row>
    <row r="54" spans="1:44" ht="13.5" customHeight="1" thickBot="1">
      <c r="A54" s="233"/>
      <c r="B54" s="262"/>
      <c r="C54" s="225" t="s">
        <v>8</v>
      </c>
      <c r="D54" s="329">
        <f t="shared" ca="1" si="3"/>
        <v>0</v>
      </c>
      <c r="E54" s="330"/>
      <c r="F54" s="331">
        <f t="shared" ca="1" si="1"/>
        <v>0.215</v>
      </c>
      <c r="G54" s="332"/>
      <c r="H54" s="333"/>
      <c r="I54" s="334"/>
      <c r="J54" s="335">
        <f t="shared" ca="1" si="2"/>
        <v>0.22999999999999998</v>
      </c>
      <c r="K54" s="336"/>
      <c r="L54" s="320"/>
      <c r="M54" s="288"/>
      <c r="N54" s="298" t="s">
        <v>8</v>
      </c>
      <c r="O54" s="338">
        <v>0</v>
      </c>
      <c r="P54" s="338">
        <v>0</v>
      </c>
      <c r="Q54" s="338">
        <v>0</v>
      </c>
      <c r="R54" s="338">
        <v>0</v>
      </c>
      <c r="S54" s="338">
        <v>0</v>
      </c>
      <c r="T54" s="338">
        <v>0</v>
      </c>
      <c r="U54" s="338">
        <v>1</v>
      </c>
      <c r="V54" s="338">
        <v>0</v>
      </c>
      <c r="W54" s="338">
        <v>1</v>
      </c>
      <c r="X54" s="338">
        <v>0</v>
      </c>
      <c r="Y54" s="338">
        <v>0</v>
      </c>
      <c r="Z54" s="338">
        <v>1</v>
      </c>
      <c r="AA54" s="338">
        <v>1</v>
      </c>
      <c r="AB54" s="338">
        <v>1</v>
      </c>
      <c r="AC54" s="338">
        <v>0</v>
      </c>
      <c r="AD54" s="339">
        <v>0</v>
      </c>
      <c r="AE54" s="339">
        <v>0</v>
      </c>
      <c r="AF54" s="339">
        <v>0</v>
      </c>
      <c r="AG54" s="339">
        <v>0</v>
      </c>
      <c r="AH54" s="339">
        <v>0</v>
      </c>
      <c r="AI54" s="339">
        <v>0</v>
      </c>
      <c r="AJ54" s="340">
        <v>0</v>
      </c>
      <c r="AK54" s="339">
        <v>1</v>
      </c>
      <c r="AL54" s="341">
        <v>0</v>
      </c>
      <c r="AM54" s="339">
        <v>0</v>
      </c>
      <c r="AN54" s="339">
        <v>0</v>
      </c>
      <c r="AO54" s="340">
        <v>0.25</v>
      </c>
      <c r="AP54" s="369">
        <v>0.9</v>
      </c>
      <c r="AQ54" s="314"/>
      <c r="AR54" s="233"/>
    </row>
    <row r="55" spans="1:44">
      <c r="B55" s="343"/>
      <c r="C55" s="263" t="s">
        <v>2</v>
      </c>
      <c r="D55" s="300">
        <f t="shared" ca="1" si="3"/>
        <v>0</v>
      </c>
      <c r="E55" s="301"/>
      <c r="F55" s="302">
        <f t="shared" ca="1" si="1"/>
        <v>0.2</v>
      </c>
      <c r="G55" s="315"/>
      <c r="H55" s="344"/>
      <c r="I55" s="345"/>
      <c r="J55" s="346">
        <f t="shared" ca="1" si="2"/>
        <v>0.4</v>
      </c>
      <c r="K55" s="319"/>
      <c r="L55" s="320"/>
      <c r="M55" s="219"/>
      <c r="N55" s="272" t="s">
        <v>2</v>
      </c>
      <c r="O55" s="348">
        <v>1</v>
      </c>
      <c r="P55" s="348">
        <v>0</v>
      </c>
      <c r="Q55" s="348">
        <v>0</v>
      </c>
      <c r="R55" s="348">
        <v>0</v>
      </c>
      <c r="S55" s="348">
        <v>1</v>
      </c>
      <c r="T55" s="348">
        <v>3</v>
      </c>
      <c r="U55" s="348"/>
      <c r="V55" s="348">
        <v>0</v>
      </c>
      <c r="W55" s="348">
        <v>2</v>
      </c>
      <c r="X55" s="348">
        <v>0</v>
      </c>
      <c r="Y55" s="348">
        <v>0</v>
      </c>
      <c r="Z55" s="348">
        <v>6</v>
      </c>
      <c r="AA55" s="348">
        <v>1</v>
      </c>
      <c r="AB55" s="348">
        <v>0</v>
      </c>
      <c r="AC55" s="348">
        <v>0</v>
      </c>
      <c r="AD55" s="349">
        <v>0</v>
      </c>
      <c r="AE55" s="349">
        <v>0</v>
      </c>
      <c r="AF55" s="349">
        <v>0</v>
      </c>
      <c r="AG55" s="349">
        <v>0</v>
      </c>
      <c r="AH55" s="349">
        <v>0</v>
      </c>
      <c r="AI55" s="349">
        <v>0</v>
      </c>
      <c r="AJ55" s="350">
        <v>0</v>
      </c>
      <c r="AK55" s="349">
        <v>0</v>
      </c>
      <c r="AL55" s="351">
        <v>0</v>
      </c>
      <c r="AM55" s="349">
        <v>0</v>
      </c>
      <c r="AN55" s="349">
        <v>2</v>
      </c>
      <c r="AO55" s="350">
        <v>0</v>
      </c>
      <c r="AP55" s="370">
        <v>0</v>
      </c>
      <c r="AQ55" s="314"/>
    </row>
    <row r="56" spans="1:44">
      <c r="B56" s="262"/>
      <c r="C56" s="276" t="s">
        <v>3</v>
      </c>
      <c r="D56" s="300">
        <f t="shared" ca="1" si="3"/>
        <v>0</v>
      </c>
      <c r="E56" s="301"/>
      <c r="F56" s="302">
        <f t="shared" ca="1" si="1"/>
        <v>0.28300000000000003</v>
      </c>
      <c r="G56" s="315"/>
      <c r="H56" s="316"/>
      <c r="I56" s="317"/>
      <c r="J56" s="318">
        <f t="shared" ca="1" si="2"/>
        <v>0.56600000000000006</v>
      </c>
      <c r="K56" s="319"/>
      <c r="L56" s="320"/>
      <c r="M56" s="288"/>
      <c r="N56" s="284" t="s">
        <v>3</v>
      </c>
      <c r="O56" s="321">
        <v>1</v>
      </c>
      <c r="P56" s="321">
        <v>0</v>
      </c>
      <c r="Q56" s="321">
        <v>0</v>
      </c>
      <c r="R56" s="321">
        <v>0</v>
      </c>
      <c r="S56" s="321">
        <v>0</v>
      </c>
      <c r="T56" s="321">
        <v>0</v>
      </c>
      <c r="U56" s="321"/>
      <c r="V56" s="321">
        <v>0</v>
      </c>
      <c r="W56" s="321">
        <v>0</v>
      </c>
      <c r="X56" s="321">
        <v>0</v>
      </c>
      <c r="Y56" s="321">
        <v>0</v>
      </c>
      <c r="Z56" s="321">
        <v>2</v>
      </c>
      <c r="AA56" s="321">
        <v>1</v>
      </c>
      <c r="AB56" s="321">
        <v>1</v>
      </c>
      <c r="AC56" s="321">
        <v>0</v>
      </c>
      <c r="AD56" s="322">
        <v>0</v>
      </c>
      <c r="AE56" s="322">
        <v>0</v>
      </c>
      <c r="AF56" s="322">
        <v>1</v>
      </c>
      <c r="AG56" s="322">
        <v>0</v>
      </c>
      <c r="AH56" s="322">
        <v>0</v>
      </c>
      <c r="AI56" s="322">
        <v>0</v>
      </c>
      <c r="AJ56" s="323">
        <v>0</v>
      </c>
      <c r="AK56" s="322">
        <v>0</v>
      </c>
      <c r="AL56" s="324">
        <v>1</v>
      </c>
      <c r="AM56" s="322">
        <v>0</v>
      </c>
      <c r="AN56" s="322">
        <v>0.83</v>
      </c>
      <c r="AO56" s="323">
        <v>1</v>
      </c>
      <c r="AP56" s="325">
        <v>0</v>
      </c>
      <c r="AQ56" s="314"/>
    </row>
    <row r="57" spans="1:44">
      <c r="B57" s="262" t="s">
        <v>149</v>
      </c>
      <c r="C57" s="276" t="s">
        <v>5</v>
      </c>
      <c r="D57" s="300">
        <f t="shared" ca="1" si="3"/>
        <v>0</v>
      </c>
      <c r="E57" s="301"/>
      <c r="F57" s="302">
        <f t="shared" ca="1" si="1"/>
        <v>0.24699999999999997</v>
      </c>
      <c r="G57" s="315"/>
      <c r="H57" s="316"/>
      <c r="I57" s="317"/>
      <c r="J57" s="318">
        <f t="shared" ca="1" si="2"/>
        <v>0.29399999999999998</v>
      </c>
      <c r="K57" s="319"/>
      <c r="L57" s="320"/>
      <c r="M57" s="288" t="s">
        <v>14</v>
      </c>
      <c r="N57" s="284" t="s">
        <v>5</v>
      </c>
      <c r="O57" s="321">
        <v>0</v>
      </c>
      <c r="P57" s="321">
        <v>0</v>
      </c>
      <c r="Q57" s="321">
        <v>0</v>
      </c>
      <c r="R57" s="321">
        <v>0</v>
      </c>
      <c r="S57" s="321">
        <v>0</v>
      </c>
      <c r="T57" s="321">
        <v>0</v>
      </c>
      <c r="U57" s="321"/>
      <c r="V57" s="321">
        <v>0</v>
      </c>
      <c r="W57" s="321">
        <v>1</v>
      </c>
      <c r="X57" s="321">
        <v>0</v>
      </c>
      <c r="Y57" s="321">
        <v>0</v>
      </c>
      <c r="Z57" s="321">
        <v>0</v>
      </c>
      <c r="AA57" s="321">
        <v>0</v>
      </c>
      <c r="AB57" s="321">
        <v>1</v>
      </c>
      <c r="AC57" s="321">
        <v>0</v>
      </c>
      <c r="AD57" s="322">
        <v>0</v>
      </c>
      <c r="AE57" s="322">
        <v>0</v>
      </c>
      <c r="AF57" s="322">
        <v>0</v>
      </c>
      <c r="AG57" s="322">
        <v>0</v>
      </c>
      <c r="AH57" s="322">
        <v>1</v>
      </c>
      <c r="AI57" s="322">
        <v>0</v>
      </c>
      <c r="AJ57" s="323">
        <v>0</v>
      </c>
      <c r="AK57" s="322">
        <v>0</v>
      </c>
      <c r="AL57" s="324">
        <v>0</v>
      </c>
      <c r="AM57" s="322">
        <v>0</v>
      </c>
      <c r="AN57" s="322">
        <v>0.17</v>
      </c>
      <c r="AO57" s="323">
        <v>1.3</v>
      </c>
      <c r="AP57" s="325">
        <v>0</v>
      </c>
      <c r="AQ57" s="314"/>
    </row>
    <row r="58" spans="1:44">
      <c r="B58" s="262"/>
      <c r="C58" s="276" t="s">
        <v>6</v>
      </c>
      <c r="D58" s="300">
        <f t="shared" ca="1" si="3"/>
        <v>0</v>
      </c>
      <c r="E58" s="301"/>
      <c r="F58" s="302">
        <f t="shared" ca="1" si="1"/>
        <v>0.32999999999999996</v>
      </c>
      <c r="G58" s="315"/>
      <c r="H58" s="316"/>
      <c r="I58" s="317"/>
      <c r="J58" s="318">
        <f t="shared" ca="1" si="2"/>
        <v>0.26</v>
      </c>
      <c r="K58" s="319"/>
      <c r="L58" s="320"/>
      <c r="M58" s="288"/>
      <c r="N58" s="284" t="s">
        <v>6</v>
      </c>
      <c r="O58" s="321">
        <v>0</v>
      </c>
      <c r="P58" s="321">
        <v>1</v>
      </c>
      <c r="Q58" s="321">
        <v>0</v>
      </c>
      <c r="R58" s="321">
        <v>0</v>
      </c>
      <c r="S58" s="321">
        <v>0</v>
      </c>
      <c r="T58" s="321">
        <v>0</v>
      </c>
      <c r="U58" s="321"/>
      <c r="V58" s="321">
        <v>0</v>
      </c>
      <c r="W58" s="321">
        <v>1</v>
      </c>
      <c r="X58" s="321">
        <v>0</v>
      </c>
      <c r="Y58" s="321">
        <v>0</v>
      </c>
      <c r="Z58" s="321">
        <v>0</v>
      </c>
      <c r="AA58" s="321">
        <v>0</v>
      </c>
      <c r="AB58" s="321">
        <v>0</v>
      </c>
      <c r="AC58" s="321">
        <v>0</v>
      </c>
      <c r="AD58" s="322">
        <v>0</v>
      </c>
      <c r="AE58" s="322">
        <v>0</v>
      </c>
      <c r="AF58" s="322">
        <v>0</v>
      </c>
      <c r="AG58" s="322">
        <v>0</v>
      </c>
      <c r="AH58" s="322">
        <v>1</v>
      </c>
      <c r="AI58" s="322">
        <v>0</v>
      </c>
      <c r="AJ58" s="323">
        <v>0</v>
      </c>
      <c r="AK58" s="322">
        <v>1</v>
      </c>
      <c r="AL58" s="324">
        <v>0</v>
      </c>
      <c r="AM58" s="322">
        <v>0</v>
      </c>
      <c r="AN58" s="322">
        <v>0</v>
      </c>
      <c r="AO58" s="323">
        <v>1.3</v>
      </c>
      <c r="AP58" s="325">
        <v>0</v>
      </c>
      <c r="AQ58" s="314"/>
    </row>
    <row r="59" spans="1:44">
      <c r="B59" s="262"/>
      <c r="C59" s="276" t="s">
        <v>7</v>
      </c>
      <c r="D59" s="300">
        <f t="shared" ca="1" si="3"/>
        <v>0</v>
      </c>
      <c r="E59" s="301"/>
      <c r="F59" s="302">
        <f t="shared" ca="1" si="1"/>
        <v>0.08</v>
      </c>
      <c r="G59" s="315"/>
      <c r="H59" s="316"/>
      <c r="I59" s="317"/>
      <c r="J59" s="318">
        <f t="shared" ca="1" si="2"/>
        <v>0.16</v>
      </c>
      <c r="K59" s="319"/>
      <c r="L59" s="320"/>
      <c r="M59" s="288"/>
      <c r="N59" s="284" t="s">
        <v>7</v>
      </c>
      <c r="O59" s="321">
        <v>0</v>
      </c>
      <c r="P59" s="321">
        <v>0</v>
      </c>
      <c r="Q59" s="321">
        <v>0</v>
      </c>
      <c r="R59" s="321">
        <v>0</v>
      </c>
      <c r="S59" s="321">
        <v>0</v>
      </c>
      <c r="T59" s="321">
        <v>0</v>
      </c>
      <c r="U59" s="321"/>
      <c r="V59" s="321">
        <v>0</v>
      </c>
      <c r="W59" s="321">
        <v>0</v>
      </c>
      <c r="X59" s="321">
        <v>0</v>
      </c>
      <c r="Y59" s="321">
        <v>1</v>
      </c>
      <c r="Z59" s="321">
        <v>0</v>
      </c>
      <c r="AA59" s="321">
        <v>0</v>
      </c>
      <c r="AB59" s="321">
        <v>0</v>
      </c>
      <c r="AC59" s="321">
        <v>0</v>
      </c>
      <c r="AD59" s="322">
        <v>0</v>
      </c>
      <c r="AE59" s="322">
        <v>0</v>
      </c>
      <c r="AF59" s="322">
        <v>0</v>
      </c>
      <c r="AG59" s="322">
        <v>0</v>
      </c>
      <c r="AH59" s="322">
        <v>0</v>
      </c>
      <c r="AI59" s="322">
        <v>0</v>
      </c>
      <c r="AJ59" s="323">
        <v>0</v>
      </c>
      <c r="AK59" s="322">
        <v>0</v>
      </c>
      <c r="AL59" s="324">
        <v>0</v>
      </c>
      <c r="AM59" s="322">
        <v>0</v>
      </c>
      <c r="AN59" s="322">
        <v>0</v>
      </c>
      <c r="AO59" s="323">
        <v>0.8</v>
      </c>
      <c r="AP59" s="325">
        <v>0</v>
      </c>
      <c r="AQ59" s="314"/>
    </row>
    <row r="60" spans="1:44" ht="13.5" thickBot="1">
      <c r="B60" s="290"/>
      <c r="C60" s="225" t="s">
        <v>8</v>
      </c>
      <c r="D60" s="329">
        <f t="shared" ca="1" si="3"/>
        <v>0</v>
      </c>
      <c r="E60" s="330"/>
      <c r="F60" s="331">
        <f t="shared" ca="1" si="1"/>
        <v>0.22000000000000003</v>
      </c>
      <c r="G60" s="332"/>
      <c r="H60" s="333"/>
      <c r="I60" s="334"/>
      <c r="J60" s="335">
        <f t="shared" ca="1" si="2"/>
        <v>0.04</v>
      </c>
      <c r="K60" s="336"/>
      <c r="L60" s="320"/>
      <c r="M60" s="337"/>
      <c r="N60" s="298" t="s">
        <v>8</v>
      </c>
      <c r="O60" s="338">
        <v>0</v>
      </c>
      <c r="P60" s="338">
        <v>0</v>
      </c>
      <c r="Q60" s="338">
        <v>0</v>
      </c>
      <c r="R60" s="338">
        <v>0</v>
      </c>
      <c r="S60" s="338">
        <v>0</v>
      </c>
      <c r="T60" s="338">
        <v>0</v>
      </c>
      <c r="U60" s="338"/>
      <c r="V60" s="338">
        <v>0</v>
      </c>
      <c r="W60" s="338"/>
      <c r="X60" s="338">
        <v>0</v>
      </c>
      <c r="Y60" s="338">
        <v>1</v>
      </c>
      <c r="Z60" s="338">
        <v>1</v>
      </c>
      <c r="AA60" s="338">
        <v>0</v>
      </c>
      <c r="AB60" s="338">
        <v>1</v>
      </c>
      <c r="AC60" s="338">
        <v>0</v>
      </c>
      <c r="AD60" s="339">
        <v>0</v>
      </c>
      <c r="AE60" s="339">
        <v>0</v>
      </c>
      <c r="AF60" s="339">
        <v>0</v>
      </c>
      <c r="AG60" s="339">
        <v>0</v>
      </c>
      <c r="AH60" s="339">
        <v>0</v>
      </c>
      <c r="AI60" s="339">
        <v>2</v>
      </c>
      <c r="AJ60" s="340">
        <v>0</v>
      </c>
      <c r="AK60" s="339">
        <v>0</v>
      </c>
      <c r="AL60" s="341">
        <v>0</v>
      </c>
      <c r="AM60" s="339">
        <v>0</v>
      </c>
      <c r="AN60" s="339">
        <v>0</v>
      </c>
      <c r="AO60" s="340">
        <v>0.2</v>
      </c>
      <c r="AP60" s="369">
        <v>0</v>
      </c>
      <c r="AQ60" s="314"/>
    </row>
    <row r="71" spans="11:21">
      <c r="K71" s="371"/>
      <c r="L71" s="371"/>
      <c r="M71" s="371"/>
      <c r="N71" s="371"/>
    </row>
    <row r="72" spans="11:21">
      <c r="K72" s="371"/>
      <c r="L72" s="371"/>
      <c r="O72" s="234" t="str">
        <f ca="1">IF(ISERROR(OFFSET(#REF!,0,0,1,#REF!-90)),"",OFFSET(#REF!,0,0,1,#REF!-90))</f>
        <v/>
      </c>
      <c r="P72" s="234" t="str">
        <f ca="1">IF(ISERROR(OFFSET(#REF!,0,0,1,#REF!-90)),"",OFFSET(#REF!,0,0,1,#REF!-90))</f>
        <v/>
      </c>
      <c r="Q72" s="372"/>
      <c r="R72" s="371"/>
      <c r="S72" s="371"/>
      <c r="T72" s="371"/>
      <c r="U72" s="371"/>
    </row>
    <row r="73" spans="11:21">
      <c r="K73" s="371"/>
      <c r="L73" s="371"/>
      <c r="O73" s="234" t="str">
        <f ca="1">IF(ISERROR(OFFSET(#REF!,0,0,1,#REF!-90)),"",OFFSET(#REF!,0,0,1,#REF!-90))</f>
        <v/>
      </c>
      <c r="P73" s="234" t="str">
        <f ca="1">IF(ISERROR(OFFSET(#REF!,0,0,1,#REF!-90)),"",OFFSET(#REF!,0,0,1,#REF!-90))</f>
        <v/>
      </c>
      <c r="Q73" s="372"/>
      <c r="R73" s="371"/>
      <c r="S73" s="371"/>
      <c r="T73" s="371"/>
      <c r="U73" s="371"/>
    </row>
    <row r="74" spans="11:21">
      <c r="K74" s="371"/>
      <c r="L74" s="371"/>
      <c r="O74" s="234" t="str">
        <f ca="1">IF(ISERROR(OFFSET(#REF!,0,0,1,#REF!-90)),"",OFFSET(#REF!,0,0,1,#REF!-90))</f>
        <v/>
      </c>
      <c r="P74" s="234" t="str">
        <f ca="1">IF(ISERROR(OFFSET(#REF!,0,0,1,#REF!-90)),"",OFFSET(#REF!,0,0,1,#REF!-90))</f>
        <v/>
      </c>
      <c r="Q74" s="372"/>
      <c r="R74" s="371"/>
      <c r="S74" s="371"/>
      <c r="T74" s="371"/>
      <c r="U74" s="371"/>
    </row>
    <row r="75" spans="11:21">
      <c r="K75" s="371"/>
      <c r="L75" s="371"/>
      <c r="O75" s="234" t="str">
        <f ca="1">IF(ISERROR(OFFSET(#REF!,0,0,1,#REF!-90)),"",OFFSET(#REF!,0,0,1,#REF!-90))</f>
        <v/>
      </c>
      <c r="P75" s="234" t="str">
        <f ca="1">IF(ISERROR(OFFSET(#REF!,0,0,1,#REF!-90)),"",OFFSET(#REF!,0,0,1,#REF!-90))</f>
        <v/>
      </c>
      <c r="Q75" s="372"/>
      <c r="R75" s="371"/>
      <c r="S75" s="371"/>
      <c r="T75" s="371"/>
      <c r="U75" s="371"/>
    </row>
    <row r="76" spans="11:21">
      <c r="K76" s="371"/>
      <c r="L76" s="371"/>
      <c r="O76" s="234" t="str">
        <f ca="1">IF(ISERROR(OFFSET(#REF!,0,0,1,#REF!-90)),"",OFFSET(#REF!,0,0,1,#REF!-90))</f>
        <v/>
      </c>
      <c r="P76" s="234" t="str">
        <f ca="1">IF(ISERROR(OFFSET(#REF!,0,0,1,#REF!-90)),"",OFFSET(#REF!,0,0,1,#REF!-90))</f>
        <v/>
      </c>
      <c r="Q76" s="372"/>
      <c r="R76" s="371"/>
      <c r="S76" s="371"/>
      <c r="T76" s="371"/>
      <c r="U76" s="371"/>
    </row>
    <row r="77" spans="11:21">
      <c r="K77" s="371"/>
      <c r="L77" s="371"/>
    </row>
    <row r="78" spans="11:21">
      <c r="K78" s="371"/>
      <c r="L78" s="371"/>
    </row>
    <row r="79" spans="11:21">
      <c r="K79" s="371"/>
      <c r="L79" s="371"/>
    </row>
    <row r="80" spans="11:21">
      <c r="K80" s="371"/>
      <c r="L80" s="371"/>
    </row>
  </sheetData>
  <customSheetViews>
    <customSheetView guid="{BC749C3C-D733-4D37-8792-BBFA31845F93}" scale="85" hiddenColumns="1" showRuler="0">
      <selection activeCell="B2" sqref="B2:J2"/>
      <colBreaks count="1" manualBreakCount="1">
        <brk id="26" min="1" max="69" man="1"/>
      </colBreaks>
      <pageMargins left="0.59055118110236227" right="0.59055118110236227" top="0.59055118110236227" bottom="0.59055118110236227" header="0.51181102362204722" footer="0.51181102362204722"/>
      <pageSetup paperSize="9" scale="75" orientation="landscape" verticalDpi="0" r:id="rId1"/>
      <headerFooter alignWithMargins="0"/>
    </customSheetView>
  </customSheetViews>
  <mergeCells count="5">
    <mergeCell ref="B2:J2"/>
    <mergeCell ref="L2:M2"/>
    <mergeCell ref="F5:F6"/>
    <mergeCell ref="H4:J4"/>
    <mergeCell ref="H6:J6"/>
  </mergeCells>
  <phoneticPr fontId="2"/>
  <dataValidations xWindow="183" yWindow="195" count="3">
    <dataValidation type="whole" allowBlank="1" showInputMessage="1" showErrorMessage="1" error="年数が間違っています。" prompt="年数を入力して下さい。" sqref="J5" xr:uid="{00000000-0002-0000-1200-000000000000}">
      <formula1>H5+1</formula1>
      <formula2>L2</formula2>
    </dataValidation>
    <dataValidation type="whole" allowBlank="1" showInputMessage="1" showErrorMessage="1" error="年数が間違っています。" prompt="年数を入力して下さい。" sqref="D5" xr:uid="{00000000-0002-0000-1200-000001000000}">
      <formula1>1989</formula1>
      <formula2>L2</formula2>
    </dataValidation>
    <dataValidation type="whole" allowBlank="1" showInputMessage="1" showErrorMessage="1" error="年数が間違っています" sqref="D6" xr:uid="{00000000-0002-0000-1200-000002000000}">
      <formula1>1989</formula1>
      <formula2>L2</formula2>
    </dataValidation>
  </dataValidations>
  <pageMargins left="0.59055118110236227" right="0.59055118110236227" top="0.59055118110236227" bottom="0.59055118110236227" header="0.51181102362204722" footer="0.51181102362204722"/>
  <pageSetup paperSize="9" scale="75" orientation="landscape" verticalDpi="1200" r:id="rId2"/>
  <headerFooter alignWithMargins="0"/>
  <colBreaks count="1" manualBreakCount="1">
    <brk id="26" min="1" max="75" man="1"/>
  </colBreaks>
  <drawing r:id="rId3"/>
  <legacyDrawing r:id="rId4"/>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3" tint="-0.249977111117893"/>
  </sheetPr>
  <dimension ref="A1:AS182"/>
  <sheetViews>
    <sheetView view="pageBreakPreview" topLeftCell="A74" zoomScale="75" zoomScaleNormal="85" zoomScaleSheetLayoutView="75" workbookViewId="0">
      <selection activeCell="AU187" sqref="AU187"/>
    </sheetView>
  </sheetViews>
  <sheetFormatPr defaultRowHeight="13"/>
  <cols>
    <col min="1" max="1" width="2.6328125" customWidth="1"/>
    <col min="2" max="2" width="5.6328125" customWidth="1"/>
    <col min="3" max="3" width="6.6328125" customWidth="1"/>
    <col min="4" max="4" width="15.6328125" customWidth="1"/>
    <col min="5" max="5" width="0.36328125" customWidth="1"/>
    <col min="6" max="6" width="15.6328125" customWidth="1"/>
    <col min="7" max="7" width="0.453125" customWidth="1"/>
    <col min="8" max="8" width="7.6328125" customWidth="1"/>
    <col min="9" max="9" width="2.6328125" customWidth="1"/>
    <col min="10" max="10" width="7.6328125" customWidth="1"/>
    <col min="11" max="11" width="10.6328125" hidden="1" customWidth="1"/>
    <col min="12" max="13" width="5.6328125" customWidth="1"/>
    <col min="14" max="14" width="6.6328125" customWidth="1"/>
    <col min="15" max="37" width="6.6328125" hidden="1" customWidth="1"/>
    <col min="38" max="41" width="7.08984375" hidden="1" customWidth="1"/>
    <col min="42" max="42" width="9.08984375" hidden="1" customWidth="1"/>
    <col min="43" max="44" width="9.08984375" customWidth="1"/>
    <col min="45" max="45" width="5.6328125" customWidth="1"/>
    <col min="46" max="76" width="9.08984375" customWidth="1"/>
  </cols>
  <sheetData>
    <row r="1" spans="1:45" ht="6" customHeight="1">
      <c r="A1" s="78"/>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row>
    <row r="2" spans="1:45" ht="24" customHeight="1">
      <c r="A2" s="6"/>
      <c r="B2" s="2000" t="s">
        <v>1</v>
      </c>
      <c r="C2" s="2000"/>
      <c r="D2" s="2000"/>
      <c r="E2" s="2000"/>
      <c r="F2" s="2000"/>
      <c r="G2" s="2000"/>
      <c r="H2" s="2000"/>
      <c r="I2" s="2000"/>
      <c r="J2" s="2000"/>
      <c r="K2" s="189"/>
      <c r="L2" s="2017">
        <f ca="1">YEAR(TODAY())</f>
        <v>2026</v>
      </c>
      <c r="M2" s="2017"/>
      <c r="N2" s="102"/>
      <c r="P2" s="49"/>
      <c r="T2" s="6"/>
      <c r="U2" s="6"/>
      <c r="V2" s="6"/>
      <c r="W2" s="6"/>
      <c r="X2" s="6"/>
      <c r="Y2" s="6"/>
      <c r="Z2" s="6"/>
      <c r="AA2" s="6"/>
      <c r="AB2" s="6"/>
      <c r="AC2" s="6"/>
      <c r="AD2" s="6"/>
      <c r="AE2" s="6"/>
      <c r="AF2" s="6"/>
      <c r="AG2" s="6"/>
      <c r="AH2" s="6"/>
      <c r="AI2" s="6"/>
      <c r="AJ2" s="6"/>
      <c r="AK2" s="6"/>
      <c r="AL2" s="6"/>
      <c r="AM2" s="2018"/>
      <c r="AN2" s="191"/>
      <c r="AO2" s="191"/>
      <c r="AP2" s="191"/>
      <c r="AQ2" s="191"/>
      <c r="AR2" s="191"/>
      <c r="AS2" s="6"/>
    </row>
    <row r="3" spans="1:45" ht="6.75" customHeight="1" thickBot="1">
      <c r="A3" s="6"/>
      <c r="B3" s="7"/>
      <c r="C3" s="6"/>
      <c r="D3" s="6"/>
      <c r="E3" s="8"/>
      <c r="F3" s="47"/>
      <c r="G3" s="47"/>
      <c r="H3" s="47"/>
      <c r="I3" s="6"/>
      <c r="J3" s="6"/>
      <c r="K3" s="47"/>
      <c r="L3" s="6"/>
      <c r="M3" s="6"/>
      <c r="N3" s="6"/>
      <c r="O3" s="6"/>
      <c r="P3" s="6"/>
      <c r="Q3" s="6"/>
      <c r="R3" s="6"/>
      <c r="S3" s="6"/>
      <c r="T3" s="6"/>
      <c r="U3" s="6"/>
      <c r="V3" s="6"/>
      <c r="W3" s="6"/>
      <c r="X3" s="6"/>
      <c r="Y3" s="6"/>
      <c r="Z3" s="6"/>
      <c r="AA3" s="6"/>
      <c r="AB3" s="6"/>
      <c r="AC3" s="6"/>
      <c r="AD3" s="6"/>
      <c r="AE3" s="6"/>
      <c r="AF3" s="6"/>
      <c r="AG3" s="6"/>
      <c r="AH3" s="6"/>
      <c r="AI3" s="6"/>
      <c r="AJ3" s="6"/>
      <c r="AK3" s="6"/>
      <c r="AL3" s="6"/>
      <c r="AM3" s="2019"/>
      <c r="AN3" s="192"/>
      <c r="AO3" s="192"/>
      <c r="AP3" s="192"/>
      <c r="AQ3" s="192"/>
      <c r="AR3" s="192"/>
      <c r="AS3" s="6"/>
    </row>
    <row r="4" spans="1:45" ht="21" customHeight="1" thickBot="1">
      <c r="A4" s="6"/>
      <c r="B4" s="9"/>
      <c r="C4" s="50"/>
      <c r="D4" s="55" t="s">
        <v>42</v>
      </c>
      <c r="E4" s="48"/>
      <c r="F4" s="56" t="s">
        <v>44</v>
      </c>
      <c r="G4" s="63"/>
      <c r="H4" s="1995" t="s">
        <v>43</v>
      </c>
      <c r="I4" s="1995"/>
      <c r="J4" s="1996"/>
      <c r="K4" s="57"/>
      <c r="L4" s="5"/>
      <c r="M4" s="5"/>
      <c r="N4" s="5"/>
      <c r="O4" s="8"/>
      <c r="P4" s="8"/>
      <c r="Q4" s="8"/>
      <c r="R4" s="8"/>
      <c r="S4" s="8"/>
      <c r="T4" s="8"/>
      <c r="U4" s="8"/>
      <c r="V4" s="8"/>
      <c r="W4" s="8"/>
      <c r="X4" s="8"/>
      <c r="Y4" s="8"/>
      <c r="Z4" s="8"/>
      <c r="AA4" s="8"/>
      <c r="AB4" s="8"/>
      <c r="AC4" s="8"/>
      <c r="AD4" s="8"/>
      <c r="AE4" s="8"/>
      <c r="AF4" s="8"/>
      <c r="AG4" s="8"/>
      <c r="AH4" s="8"/>
      <c r="AI4" s="8"/>
      <c r="AJ4" s="8"/>
      <c r="AK4" s="8"/>
      <c r="AL4" s="8"/>
      <c r="AM4" s="2020"/>
      <c r="AN4" s="130"/>
      <c r="AO4" s="130"/>
      <c r="AP4" s="130"/>
      <c r="AQ4" s="130" t="s">
        <v>133</v>
      </c>
      <c r="AR4" s="130"/>
      <c r="AS4" s="6"/>
    </row>
    <row r="5" spans="1:45" ht="13.5" customHeight="1">
      <c r="A5" s="6"/>
      <c r="B5" s="39" t="s">
        <v>136</v>
      </c>
      <c r="C5" s="47"/>
      <c r="D5" s="68">
        <v>2016</v>
      </c>
      <c r="E5" s="35"/>
      <c r="F5" s="1993" t="s">
        <v>41</v>
      </c>
      <c r="G5" s="64"/>
      <c r="H5" s="69">
        <f>D5-5</f>
        <v>2011</v>
      </c>
      <c r="I5" s="40" t="s">
        <v>40</v>
      </c>
      <c r="J5" s="70">
        <f>D5-1</f>
        <v>2015</v>
      </c>
      <c r="K5" s="58">
        <f>$J$5-$H$5+1</f>
        <v>5</v>
      </c>
      <c r="L5" s="190"/>
      <c r="M5" s="37"/>
      <c r="N5" s="42"/>
      <c r="O5" s="112">
        <v>1987</v>
      </c>
      <c r="P5" s="110">
        <v>1988</v>
      </c>
      <c r="Q5" s="110">
        <v>1989</v>
      </c>
      <c r="R5" s="110">
        <v>1990</v>
      </c>
      <c r="S5" s="110">
        <v>1991</v>
      </c>
      <c r="T5" s="110">
        <v>1992</v>
      </c>
      <c r="U5" s="110">
        <v>1993</v>
      </c>
      <c r="V5" s="110">
        <v>1994</v>
      </c>
      <c r="W5" s="110">
        <v>1995</v>
      </c>
      <c r="X5" s="110">
        <v>1996</v>
      </c>
      <c r="Y5" s="110">
        <v>1997</v>
      </c>
      <c r="Z5" s="110">
        <v>1998</v>
      </c>
      <c r="AA5" s="110">
        <v>1999</v>
      </c>
      <c r="AB5" s="110">
        <v>2000</v>
      </c>
      <c r="AC5" s="110">
        <v>2001</v>
      </c>
      <c r="AD5" s="110">
        <v>2002</v>
      </c>
      <c r="AE5" s="110">
        <v>2003</v>
      </c>
      <c r="AF5" s="110">
        <v>2004</v>
      </c>
      <c r="AG5" s="110">
        <v>2005</v>
      </c>
      <c r="AH5" s="110">
        <v>2006</v>
      </c>
      <c r="AI5" s="110">
        <v>2007</v>
      </c>
      <c r="AJ5" s="110">
        <v>2008</v>
      </c>
      <c r="AK5" s="110">
        <v>2009</v>
      </c>
      <c r="AL5" s="123">
        <v>2010</v>
      </c>
      <c r="AM5" s="110">
        <v>2011</v>
      </c>
      <c r="AN5" s="154">
        <v>2012</v>
      </c>
      <c r="AO5" s="110">
        <v>2013</v>
      </c>
      <c r="AP5" s="110">
        <v>2014</v>
      </c>
      <c r="AQ5" s="110">
        <v>2015</v>
      </c>
      <c r="AR5" s="212">
        <v>2016</v>
      </c>
      <c r="AS5" s="6"/>
    </row>
    <row r="6" spans="1:45" ht="13.5" customHeight="1" thickBot="1">
      <c r="A6" s="6"/>
      <c r="B6" s="13"/>
      <c r="C6" s="8"/>
      <c r="D6" s="77" t="str">
        <f t="shared" ref="D6:D60" ca="1" si="0">IF(ISBLANK($D$5),-20,OFFSET($O6,0,$D$5-1987,1,1))</f>
        <v>H28年</v>
      </c>
      <c r="E6" s="51"/>
      <c r="F6" s="1994"/>
      <c r="G6" s="65"/>
      <c r="H6" s="1997">
        <f>IF(OR(ISBLANK($H$5),ISBLANK($J$5)),"　ヶ年平均",$J$5-$H$5+1)</f>
        <v>5</v>
      </c>
      <c r="I6" s="2015"/>
      <c r="J6" s="2016"/>
      <c r="K6" s="59"/>
      <c r="L6" s="85"/>
      <c r="M6" s="38"/>
      <c r="N6" s="43"/>
      <c r="O6" s="14" t="s">
        <v>15</v>
      </c>
      <c r="P6" s="15" t="s">
        <v>16</v>
      </c>
      <c r="Q6" s="15" t="s">
        <v>17</v>
      </c>
      <c r="R6" s="15" t="s">
        <v>18</v>
      </c>
      <c r="S6" s="15" t="s">
        <v>19</v>
      </c>
      <c r="T6" s="15" t="s">
        <v>20</v>
      </c>
      <c r="U6" s="15" t="s">
        <v>21</v>
      </c>
      <c r="V6" s="15" t="s">
        <v>22</v>
      </c>
      <c r="W6" s="15" t="s">
        <v>23</v>
      </c>
      <c r="X6" s="15" t="s">
        <v>24</v>
      </c>
      <c r="Y6" s="15" t="s">
        <v>25</v>
      </c>
      <c r="Z6" s="15" t="s">
        <v>26</v>
      </c>
      <c r="AA6" s="15" t="s">
        <v>27</v>
      </c>
      <c r="AB6" s="15" t="s">
        <v>28</v>
      </c>
      <c r="AC6" s="15" t="s">
        <v>29</v>
      </c>
      <c r="AD6" s="15" t="s">
        <v>30</v>
      </c>
      <c r="AE6" s="15" t="s">
        <v>31</v>
      </c>
      <c r="AF6" s="15" t="s">
        <v>32</v>
      </c>
      <c r="AG6" s="15" t="s">
        <v>33</v>
      </c>
      <c r="AH6" s="15" t="s">
        <v>34</v>
      </c>
      <c r="AI6" s="15" t="s">
        <v>35</v>
      </c>
      <c r="AJ6" s="15" t="s">
        <v>36</v>
      </c>
      <c r="AK6" s="15" t="s">
        <v>37</v>
      </c>
      <c r="AL6" s="28" t="s">
        <v>38</v>
      </c>
      <c r="AM6" s="15" t="s">
        <v>115</v>
      </c>
      <c r="AN6" s="155" t="s">
        <v>119</v>
      </c>
      <c r="AO6" s="15" t="s">
        <v>123</v>
      </c>
      <c r="AP6" s="15" t="s">
        <v>125</v>
      </c>
      <c r="AQ6" s="15" t="s">
        <v>129</v>
      </c>
      <c r="AR6" s="213" t="s">
        <v>130</v>
      </c>
      <c r="AS6" s="6"/>
    </row>
    <row r="7" spans="1:45" ht="13.5" customHeight="1">
      <c r="A7" s="6"/>
      <c r="B7" s="21"/>
      <c r="C7" s="20" t="s">
        <v>2</v>
      </c>
      <c r="D7" s="194">
        <f t="shared" ca="1" si="0"/>
        <v>0</v>
      </c>
      <c r="E7" s="179"/>
      <c r="F7" s="79"/>
      <c r="G7" s="87"/>
      <c r="H7" s="139"/>
      <c r="I7" s="140"/>
      <c r="J7" s="141" t="e">
        <f t="shared" ref="J7:J60" ca="1" si="1">IF(OR(ISBLANK($H$5),ISBLANK($J$5)),-20,AVERAGE(OFFSET($O7,0,$H$5-1987,1,$J$5-$H$5+1)))</f>
        <v>#DIV/0!</v>
      </c>
      <c r="K7" s="113"/>
      <c r="L7" s="85"/>
      <c r="M7" s="21"/>
      <c r="N7" s="20" t="s">
        <v>2</v>
      </c>
      <c r="O7" s="117"/>
      <c r="P7" s="114"/>
      <c r="Q7" s="114"/>
      <c r="R7" s="114"/>
      <c r="S7" s="114"/>
      <c r="T7" s="114"/>
      <c r="U7" s="114"/>
      <c r="V7" s="114"/>
      <c r="W7" s="114"/>
      <c r="X7" s="114"/>
      <c r="Y7" s="114"/>
      <c r="Z7" s="114"/>
      <c r="AA7" s="114"/>
      <c r="AB7" s="114"/>
      <c r="AC7" s="114"/>
      <c r="AD7" s="114"/>
      <c r="AE7" s="114"/>
      <c r="AF7" s="114"/>
      <c r="AG7" s="114"/>
      <c r="AH7" s="114"/>
      <c r="AI7" s="114"/>
      <c r="AJ7" s="114"/>
      <c r="AK7" s="114"/>
      <c r="AL7" s="131"/>
      <c r="AM7" s="114"/>
      <c r="AN7" s="156"/>
      <c r="AO7" s="114"/>
      <c r="AP7" s="131"/>
      <c r="AQ7" s="117"/>
      <c r="AR7" s="164"/>
      <c r="AS7" s="6"/>
    </row>
    <row r="8" spans="1:45" ht="13.5" customHeight="1">
      <c r="A8" s="6"/>
      <c r="B8" s="21"/>
      <c r="C8" s="22" t="s">
        <v>3</v>
      </c>
      <c r="D8" s="195">
        <f t="shared" ca="1" si="0"/>
        <v>0</v>
      </c>
      <c r="E8" s="179"/>
      <c r="F8" s="82"/>
      <c r="G8" s="90"/>
      <c r="H8" s="142"/>
      <c r="I8" s="143"/>
      <c r="J8" s="144" t="e">
        <f t="shared" ca="1" si="1"/>
        <v>#DIV/0!</v>
      </c>
      <c r="K8" s="113"/>
      <c r="L8" s="85"/>
      <c r="M8" s="21"/>
      <c r="N8" s="22" t="s">
        <v>3</v>
      </c>
      <c r="O8" s="118"/>
      <c r="P8" s="115"/>
      <c r="Q8" s="115"/>
      <c r="R8" s="115"/>
      <c r="S8" s="115"/>
      <c r="T8" s="115"/>
      <c r="U8" s="115"/>
      <c r="V8" s="115"/>
      <c r="W8" s="115"/>
      <c r="X8" s="115"/>
      <c r="Y8" s="115"/>
      <c r="Z8" s="115"/>
      <c r="AA8" s="115"/>
      <c r="AB8" s="115"/>
      <c r="AC8" s="115"/>
      <c r="AD8" s="115"/>
      <c r="AE8" s="115"/>
      <c r="AF8" s="115"/>
      <c r="AG8" s="115"/>
      <c r="AH8" s="115"/>
      <c r="AI8" s="115"/>
      <c r="AJ8" s="115"/>
      <c r="AK8" s="115"/>
      <c r="AL8" s="132"/>
      <c r="AM8" s="115"/>
      <c r="AN8" s="157"/>
      <c r="AO8" s="115"/>
      <c r="AP8" s="132"/>
      <c r="AQ8" s="118"/>
      <c r="AR8" s="165"/>
      <c r="AS8" s="6"/>
    </row>
    <row r="9" spans="1:45" ht="13.5" customHeight="1">
      <c r="A9" s="6"/>
      <c r="B9" s="21" t="s">
        <v>141</v>
      </c>
      <c r="C9" s="22" t="s">
        <v>5</v>
      </c>
      <c r="D9" s="195">
        <f t="shared" ca="1" si="0"/>
        <v>0</v>
      </c>
      <c r="E9" s="179"/>
      <c r="F9" s="82"/>
      <c r="G9" s="90"/>
      <c r="H9" s="142"/>
      <c r="I9" s="143"/>
      <c r="J9" s="144" t="e">
        <f t="shared" ca="1" si="1"/>
        <v>#DIV/0!</v>
      </c>
      <c r="K9" s="113"/>
      <c r="L9" s="85"/>
      <c r="M9" s="21" t="s">
        <v>141</v>
      </c>
      <c r="N9" s="22" t="s">
        <v>5</v>
      </c>
      <c r="O9" s="118"/>
      <c r="P9" s="115"/>
      <c r="Q9" s="115"/>
      <c r="R9" s="115"/>
      <c r="S9" s="115"/>
      <c r="T9" s="115"/>
      <c r="U9" s="115"/>
      <c r="V9" s="115"/>
      <c r="W9" s="115"/>
      <c r="X9" s="115"/>
      <c r="Y9" s="115"/>
      <c r="Z9" s="115"/>
      <c r="AA9" s="115"/>
      <c r="AB9" s="115"/>
      <c r="AC9" s="115"/>
      <c r="AD9" s="115"/>
      <c r="AE9" s="115"/>
      <c r="AF9" s="115"/>
      <c r="AG9" s="115"/>
      <c r="AH9" s="115"/>
      <c r="AI9" s="115"/>
      <c r="AJ9" s="115"/>
      <c r="AK9" s="115"/>
      <c r="AL9" s="132"/>
      <c r="AM9" s="115"/>
      <c r="AN9" s="157"/>
      <c r="AO9" s="115"/>
      <c r="AP9" s="132"/>
      <c r="AQ9" s="118"/>
      <c r="AR9" s="165"/>
      <c r="AS9" s="6"/>
    </row>
    <row r="10" spans="1:45" ht="13.5" customHeight="1">
      <c r="A10" s="6"/>
      <c r="B10" s="21"/>
      <c r="C10" s="22" t="s">
        <v>6</v>
      </c>
      <c r="D10" s="195">
        <f t="shared" ca="1" si="0"/>
        <v>0</v>
      </c>
      <c r="E10" s="179"/>
      <c r="F10" s="82" t="e">
        <f t="shared" ref="F10:F60" ca="1" si="2">AVERAGE(OFFSET(O10,0,$L$2-1988,1,-10))</f>
        <v>#DIV/0!</v>
      </c>
      <c r="G10" s="90"/>
      <c r="H10" s="142"/>
      <c r="I10" s="143"/>
      <c r="J10" s="144">
        <f t="shared" ca="1" si="1"/>
        <v>8.625</v>
      </c>
      <c r="K10" s="136"/>
      <c r="L10" s="137"/>
      <c r="M10" s="21"/>
      <c r="N10" s="22" t="s">
        <v>6</v>
      </c>
      <c r="O10" s="118"/>
      <c r="P10" s="115"/>
      <c r="Q10" s="115"/>
      <c r="R10" s="115"/>
      <c r="S10" s="115"/>
      <c r="T10" s="115"/>
      <c r="U10" s="115"/>
      <c r="V10" s="115"/>
      <c r="W10" s="115"/>
      <c r="X10" s="115"/>
      <c r="Y10" s="115"/>
      <c r="Z10" s="115"/>
      <c r="AA10" s="115"/>
      <c r="AB10" s="115"/>
      <c r="AC10" s="115"/>
      <c r="AD10" s="115"/>
      <c r="AE10" s="115"/>
      <c r="AF10" s="115"/>
      <c r="AG10" s="115"/>
      <c r="AH10" s="115"/>
      <c r="AI10" s="115"/>
      <c r="AJ10" s="115"/>
      <c r="AK10" s="115"/>
      <c r="AL10" s="132"/>
      <c r="AM10" s="115"/>
      <c r="AN10" s="157"/>
      <c r="AO10" s="115"/>
      <c r="AP10" s="132"/>
      <c r="AQ10" s="118">
        <v>8.625</v>
      </c>
      <c r="AR10" s="165"/>
      <c r="AS10" s="6"/>
    </row>
    <row r="11" spans="1:45" ht="13.5" customHeight="1">
      <c r="A11" s="6"/>
      <c r="B11" s="21"/>
      <c r="C11" s="22" t="s">
        <v>7</v>
      </c>
      <c r="D11" s="195">
        <f t="shared" ca="1" si="0"/>
        <v>0</v>
      </c>
      <c r="E11" s="179"/>
      <c r="F11" s="82" t="e">
        <f t="shared" ca="1" si="2"/>
        <v>#DIV/0!</v>
      </c>
      <c r="G11" s="90"/>
      <c r="H11" s="142"/>
      <c r="I11" s="143"/>
      <c r="J11" s="144">
        <f t="shared" ca="1" si="1"/>
        <v>14.375</v>
      </c>
      <c r="K11" s="113"/>
      <c r="L11" s="85"/>
      <c r="M11" s="21"/>
      <c r="N11" s="22" t="s">
        <v>7</v>
      </c>
      <c r="O11" s="118"/>
      <c r="P11" s="115"/>
      <c r="Q11" s="115"/>
      <c r="R11" s="115"/>
      <c r="S11" s="115"/>
      <c r="T11" s="115"/>
      <c r="U11" s="115"/>
      <c r="V11" s="115"/>
      <c r="W11" s="115"/>
      <c r="X11" s="115"/>
      <c r="Y11" s="115"/>
      <c r="Z11" s="115"/>
      <c r="AA11" s="115"/>
      <c r="AB11" s="115"/>
      <c r="AC11" s="115"/>
      <c r="AD11" s="115"/>
      <c r="AE11" s="115"/>
      <c r="AF11" s="115"/>
      <c r="AG11" s="115"/>
      <c r="AH11" s="115"/>
      <c r="AI11" s="115"/>
      <c r="AJ11" s="115"/>
      <c r="AK11" s="115"/>
      <c r="AL11" s="132"/>
      <c r="AM11" s="115"/>
      <c r="AN11" s="157"/>
      <c r="AO11" s="115"/>
      <c r="AP11" s="132"/>
      <c r="AQ11" s="118">
        <v>14.375</v>
      </c>
      <c r="AR11" s="165"/>
      <c r="AS11" s="6"/>
    </row>
    <row r="12" spans="1:45" ht="13.5" customHeight="1" thickBot="1">
      <c r="A12" s="6"/>
      <c r="B12" s="27"/>
      <c r="C12" s="28" t="s">
        <v>8</v>
      </c>
      <c r="D12" s="196">
        <f t="shared" ca="1" si="0"/>
        <v>16</v>
      </c>
      <c r="E12" s="180"/>
      <c r="F12" s="93">
        <f t="shared" ca="1" si="2"/>
        <v>16</v>
      </c>
      <c r="G12" s="94"/>
      <c r="H12" s="145"/>
      <c r="I12" s="146"/>
      <c r="J12" s="147">
        <f t="shared" ca="1" si="1"/>
        <v>66.66</v>
      </c>
      <c r="K12" s="113"/>
      <c r="L12" s="85"/>
      <c r="M12" s="27"/>
      <c r="N12" s="28" t="s">
        <v>8</v>
      </c>
      <c r="O12" s="119"/>
      <c r="P12" s="116"/>
      <c r="Q12" s="116"/>
      <c r="R12" s="116"/>
      <c r="S12" s="116"/>
      <c r="T12" s="116"/>
      <c r="U12" s="116"/>
      <c r="V12" s="116"/>
      <c r="W12" s="116"/>
      <c r="X12" s="116"/>
      <c r="Y12" s="116"/>
      <c r="Z12" s="116"/>
      <c r="AA12" s="116"/>
      <c r="AB12" s="116"/>
      <c r="AC12" s="116"/>
      <c r="AD12" s="116"/>
      <c r="AE12" s="116"/>
      <c r="AF12" s="116"/>
      <c r="AG12" s="116"/>
      <c r="AH12" s="116"/>
      <c r="AI12" s="116"/>
      <c r="AJ12" s="116"/>
      <c r="AK12" s="116"/>
      <c r="AL12" s="133"/>
      <c r="AM12" s="116"/>
      <c r="AN12" s="158"/>
      <c r="AO12" s="116"/>
      <c r="AP12" s="133"/>
      <c r="AQ12" s="119">
        <v>66.66</v>
      </c>
      <c r="AR12" s="166">
        <v>16</v>
      </c>
      <c r="AS12" s="6"/>
    </row>
    <row r="13" spans="1:45" ht="13.5" customHeight="1">
      <c r="A13" s="6"/>
      <c r="B13" s="21"/>
      <c r="C13" s="20" t="s">
        <v>2</v>
      </c>
      <c r="D13" s="86">
        <f t="shared" ca="1" si="0"/>
        <v>410</v>
      </c>
      <c r="E13" s="83"/>
      <c r="F13" s="79">
        <f t="shared" ca="1" si="2"/>
        <v>410</v>
      </c>
      <c r="G13" s="87"/>
      <c r="H13" s="139"/>
      <c r="I13" s="140"/>
      <c r="J13" s="141">
        <f t="shared" ca="1" si="1"/>
        <v>741.66</v>
      </c>
      <c r="K13" s="88"/>
      <c r="L13" s="89"/>
      <c r="M13" s="21"/>
      <c r="N13" s="12" t="s">
        <v>2</v>
      </c>
      <c r="O13" s="18"/>
      <c r="P13" s="19"/>
      <c r="Q13" s="19"/>
      <c r="R13" s="19"/>
      <c r="S13" s="19"/>
      <c r="T13" s="19"/>
      <c r="U13" s="19"/>
      <c r="V13" s="19"/>
      <c r="W13" s="19"/>
      <c r="X13" s="19"/>
      <c r="Y13" s="19"/>
      <c r="Z13" s="19"/>
      <c r="AA13" s="19"/>
      <c r="AB13" s="19"/>
      <c r="AC13" s="71"/>
      <c r="AD13" s="71"/>
      <c r="AE13" s="71"/>
      <c r="AF13" s="71"/>
      <c r="AG13" s="71"/>
      <c r="AH13" s="71"/>
      <c r="AI13" s="71"/>
      <c r="AJ13" s="71"/>
      <c r="AK13" s="71"/>
      <c r="AL13" s="124"/>
      <c r="AM13" s="71"/>
      <c r="AN13" s="159"/>
      <c r="AO13" s="71"/>
      <c r="AP13" s="71"/>
      <c r="AQ13" s="71">
        <v>741.66</v>
      </c>
      <c r="AR13" s="167">
        <v>410</v>
      </c>
      <c r="AS13" s="6"/>
    </row>
    <row r="14" spans="1:45" ht="13.5" customHeight="1">
      <c r="A14" s="6"/>
      <c r="B14" s="21"/>
      <c r="C14" s="22" t="s">
        <v>3</v>
      </c>
      <c r="D14" s="86">
        <f t="shared" ca="1" si="0"/>
        <v>400.8</v>
      </c>
      <c r="E14" s="83"/>
      <c r="F14" s="82">
        <f t="shared" ca="1" si="2"/>
        <v>400.8</v>
      </c>
      <c r="G14" s="90"/>
      <c r="H14" s="142"/>
      <c r="I14" s="143"/>
      <c r="J14" s="144">
        <f t="shared" ca="1" si="1"/>
        <v>355.33</v>
      </c>
      <c r="K14" s="88"/>
      <c r="L14" s="91"/>
      <c r="M14" s="21"/>
      <c r="N14" s="44" t="s">
        <v>3</v>
      </c>
      <c r="O14" s="23"/>
      <c r="P14" s="24"/>
      <c r="Q14" s="24"/>
      <c r="R14" s="24"/>
      <c r="S14" s="24"/>
      <c r="T14" s="24"/>
      <c r="U14" s="24"/>
      <c r="V14" s="24"/>
      <c r="W14" s="24"/>
      <c r="X14" s="24"/>
      <c r="Y14" s="24"/>
      <c r="Z14" s="24"/>
      <c r="AA14" s="24"/>
      <c r="AB14" s="24"/>
      <c r="AC14" s="72"/>
      <c r="AD14" s="72"/>
      <c r="AE14" s="72"/>
      <c r="AF14" s="72"/>
      <c r="AG14" s="72"/>
      <c r="AH14" s="72"/>
      <c r="AI14" s="72"/>
      <c r="AJ14" s="72"/>
      <c r="AK14" s="72"/>
      <c r="AL14" s="125"/>
      <c r="AM14" s="72"/>
      <c r="AN14" s="160"/>
      <c r="AO14" s="72"/>
      <c r="AP14" s="72"/>
      <c r="AQ14" s="72">
        <v>355.33</v>
      </c>
      <c r="AR14" s="168">
        <v>400.8</v>
      </c>
      <c r="AS14" s="6"/>
    </row>
    <row r="15" spans="1:45" ht="13.5" customHeight="1">
      <c r="A15" s="6"/>
      <c r="B15" s="21" t="s">
        <v>142</v>
      </c>
      <c r="C15" s="22" t="s">
        <v>5</v>
      </c>
      <c r="D15" s="86">
        <f t="shared" ca="1" si="0"/>
        <v>183.8</v>
      </c>
      <c r="E15" s="83"/>
      <c r="F15" s="82">
        <f t="shared" ca="1" si="2"/>
        <v>183.8</v>
      </c>
      <c r="G15" s="90"/>
      <c r="H15" s="142"/>
      <c r="I15" s="143"/>
      <c r="J15" s="144">
        <f t="shared" ca="1" si="1"/>
        <v>423</v>
      </c>
      <c r="K15" s="88"/>
      <c r="L15" s="91"/>
      <c r="M15" s="21" t="s">
        <v>142</v>
      </c>
      <c r="N15" s="44" t="s">
        <v>5</v>
      </c>
      <c r="O15" s="23"/>
      <c r="P15" s="24"/>
      <c r="Q15" s="24"/>
      <c r="R15" s="24"/>
      <c r="S15" s="24"/>
      <c r="T15" s="24"/>
      <c r="U15" s="24"/>
      <c r="V15" s="24"/>
      <c r="W15" s="24"/>
      <c r="X15" s="24"/>
      <c r="Y15" s="24"/>
      <c r="Z15" s="24"/>
      <c r="AA15" s="24"/>
      <c r="AB15" s="24"/>
      <c r="AC15" s="72"/>
      <c r="AD15" s="72"/>
      <c r="AE15" s="72"/>
      <c r="AF15" s="72"/>
      <c r="AG15" s="72"/>
      <c r="AH15" s="72"/>
      <c r="AI15" s="72"/>
      <c r="AJ15" s="72"/>
      <c r="AK15" s="72"/>
      <c r="AL15" s="125"/>
      <c r="AM15" s="72"/>
      <c r="AN15" s="193"/>
      <c r="AO15" s="177"/>
      <c r="AP15" s="177"/>
      <c r="AQ15" s="177">
        <v>423</v>
      </c>
      <c r="AR15" s="173">
        <v>183.8</v>
      </c>
      <c r="AS15" s="6"/>
    </row>
    <row r="16" spans="1:45" ht="13.5" customHeight="1">
      <c r="A16" s="6"/>
      <c r="B16" s="21"/>
      <c r="C16" s="22" t="s">
        <v>6</v>
      </c>
      <c r="D16" s="86">
        <f t="shared" ca="1" si="0"/>
        <v>134</v>
      </c>
      <c r="E16" s="83"/>
      <c r="F16" s="82">
        <f t="shared" ca="1" si="2"/>
        <v>134</v>
      </c>
      <c r="G16" s="90"/>
      <c r="H16" s="142"/>
      <c r="I16" s="143"/>
      <c r="J16" s="144">
        <f t="shared" ca="1" si="1"/>
        <v>214</v>
      </c>
      <c r="K16" s="88"/>
      <c r="L16" s="91"/>
      <c r="M16" s="21"/>
      <c r="N16" s="44" t="s">
        <v>6</v>
      </c>
      <c r="O16" s="23"/>
      <c r="P16" s="24"/>
      <c r="Q16" s="24"/>
      <c r="R16" s="24"/>
      <c r="S16" s="24"/>
      <c r="T16" s="24"/>
      <c r="U16" s="24"/>
      <c r="V16" s="24"/>
      <c r="W16" s="24"/>
      <c r="X16" s="24"/>
      <c r="Y16" s="24"/>
      <c r="Z16" s="24"/>
      <c r="AA16" s="24"/>
      <c r="AB16" s="24"/>
      <c r="AC16" s="72"/>
      <c r="AD16" s="72"/>
      <c r="AE16" s="72"/>
      <c r="AF16" s="73"/>
      <c r="AG16" s="73"/>
      <c r="AH16" s="73"/>
      <c r="AI16" s="73"/>
      <c r="AJ16" s="73"/>
      <c r="AK16" s="73"/>
      <c r="AL16" s="126"/>
      <c r="AM16" s="73"/>
      <c r="AN16" s="161"/>
      <c r="AO16" s="73"/>
      <c r="AP16" s="73"/>
      <c r="AQ16" s="73">
        <v>214</v>
      </c>
      <c r="AR16" s="169">
        <v>134</v>
      </c>
      <c r="AS16" s="6"/>
    </row>
    <row r="17" spans="1:45" ht="13.5" customHeight="1">
      <c r="A17" s="6"/>
      <c r="B17" s="21"/>
      <c r="C17" s="22" t="s">
        <v>7</v>
      </c>
      <c r="D17" s="86">
        <f t="shared" ca="1" si="0"/>
        <v>111</v>
      </c>
      <c r="E17" s="83"/>
      <c r="F17" s="82">
        <f t="shared" ca="1" si="2"/>
        <v>111</v>
      </c>
      <c r="G17" s="90"/>
      <c r="H17" s="142"/>
      <c r="I17" s="143"/>
      <c r="J17" s="144">
        <f t="shared" ca="1" si="1"/>
        <v>247</v>
      </c>
      <c r="K17" s="88"/>
      <c r="L17" s="91"/>
      <c r="M17" s="21"/>
      <c r="N17" s="44" t="s">
        <v>7</v>
      </c>
      <c r="O17" s="23"/>
      <c r="P17" s="24"/>
      <c r="Q17" s="24"/>
      <c r="R17" s="24"/>
      <c r="S17" s="24"/>
      <c r="T17" s="24"/>
      <c r="U17" s="24"/>
      <c r="V17" s="24"/>
      <c r="W17" s="24"/>
      <c r="X17" s="24"/>
      <c r="Y17" s="24"/>
      <c r="Z17" s="24"/>
      <c r="AA17" s="24"/>
      <c r="AB17" s="24"/>
      <c r="AC17" s="72"/>
      <c r="AD17" s="72"/>
      <c r="AE17" s="72"/>
      <c r="AF17" s="72"/>
      <c r="AG17" s="72"/>
      <c r="AH17" s="72"/>
      <c r="AI17" s="72"/>
      <c r="AJ17" s="72"/>
      <c r="AK17" s="72"/>
      <c r="AL17" s="125"/>
      <c r="AM17" s="72"/>
      <c r="AN17" s="160"/>
      <c r="AO17" s="72"/>
      <c r="AP17" s="72"/>
      <c r="AQ17" s="72">
        <v>247</v>
      </c>
      <c r="AR17" s="168">
        <v>111</v>
      </c>
      <c r="AS17" s="6"/>
    </row>
    <row r="18" spans="1:45" ht="13.5" customHeight="1" thickBot="1">
      <c r="A18" s="6"/>
      <c r="B18" s="27"/>
      <c r="C18" s="28" t="s">
        <v>8</v>
      </c>
      <c r="D18" s="92">
        <f t="shared" ca="1" si="0"/>
        <v>19.5</v>
      </c>
      <c r="E18" s="84"/>
      <c r="F18" s="93">
        <f t="shared" ca="1" si="2"/>
        <v>19.5</v>
      </c>
      <c r="G18" s="94"/>
      <c r="H18" s="145"/>
      <c r="I18" s="146"/>
      <c r="J18" s="147">
        <f t="shared" ca="1" si="1"/>
        <v>70</v>
      </c>
      <c r="K18" s="95"/>
      <c r="L18" s="91"/>
      <c r="M18" s="27"/>
      <c r="N18" s="16" t="s">
        <v>8</v>
      </c>
      <c r="O18" s="29"/>
      <c r="P18" s="30"/>
      <c r="Q18" s="30"/>
      <c r="R18" s="30"/>
      <c r="S18" s="30"/>
      <c r="T18" s="30"/>
      <c r="U18" s="30"/>
      <c r="V18" s="30"/>
      <c r="W18" s="30"/>
      <c r="X18" s="30"/>
      <c r="Y18" s="30"/>
      <c r="Z18" s="30"/>
      <c r="AA18" s="30"/>
      <c r="AB18" s="30"/>
      <c r="AC18" s="74"/>
      <c r="AD18" s="74"/>
      <c r="AE18" s="74"/>
      <c r="AF18" s="74"/>
      <c r="AG18" s="74"/>
      <c r="AH18" s="74"/>
      <c r="AI18" s="74"/>
      <c r="AJ18" s="74"/>
      <c r="AK18" s="74"/>
      <c r="AL18" s="127"/>
      <c r="AM18" s="74"/>
      <c r="AN18" s="162"/>
      <c r="AO18" s="74"/>
      <c r="AP18" s="74"/>
      <c r="AQ18" s="74">
        <v>70</v>
      </c>
      <c r="AR18" s="170">
        <v>19.5</v>
      </c>
      <c r="AS18" s="6"/>
    </row>
    <row r="19" spans="1:45" ht="13.5" customHeight="1">
      <c r="A19" s="6"/>
      <c r="B19" s="17"/>
      <c r="C19" s="20" t="s">
        <v>2</v>
      </c>
      <c r="D19" s="86">
        <f t="shared" ca="1" si="0"/>
        <v>6.9</v>
      </c>
      <c r="E19" s="83"/>
      <c r="F19" s="82">
        <f t="shared" ca="1" si="2"/>
        <v>6.9</v>
      </c>
      <c r="G19" s="90"/>
      <c r="H19" s="139"/>
      <c r="I19" s="140"/>
      <c r="J19" s="141">
        <f t="shared" ca="1" si="1"/>
        <v>42.5</v>
      </c>
      <c r="K19" s="88"/>
      <c r="L19" s="91"/>
      <c r="M19" s="17"/>
      <c r="N19" s="45" t="s">
        <v>2</v>
      </c>
      <c r="O19" s="31"/>
      <c r="P19" s="32"/>
      <c r="Q19" s="32"/>
      <c r="R19" s="32"/>
      <c r="S19" s="32"/>
      <c r="T19" s="32"/>
      <c r="U19" s="32"/>
      <c r="V19" s="32"/>
      <c r="W19" s="32"/>
      <c r="X19" s="32"/>
      <c r="Y19" s="32"/>
      <c r="Z19" s="32"/>
      <c r="AA19" s="32"/>
      <c r="AB19" s="32"/>
      <c r="AC19" s="75"/>
      <c r="AD19" s="75"/>
      <c r="AE19" s="75"/>
      <c r="AF19" s="75"/>
      <c r="AG19" s="75"/>
      <c r="AH19" s="75"/>
      <c r="AI19" s="75"/>
      <c r="AJ19" s="75"/>
      <c r="AK19" s="75"/>
      <c r="AL19" s="128"/>
      <c r="AM19" s="75"/>
      <c r="AN19" s="163"/>
      <c r="AO19" s="75"/>
      <c r="AP19" s="75"/>
      <c r="AQ19" s="75">
        <v>42.5</v>
      </c>
      <c r="AR19" s="171">
        <v>6.9</v>
      </c>
      <c r="AS19" s="6"/>
    </row>
    <row r="20" spans="1:45" ht="13.5" customHeight="1">
      <c r="A20" s="6"/>
      <c r="B20" s="21"/>
      <c r="C20" s="22" t="s">
        <v>3</v>
      </c>
      <c r="D20" s="86">
        <f t="shared" ca="1" si="0"/>
        <v>4.4000000000000004</v>
      </c>
      <c r="E20" s="83"/>
      <c r="F20" s="82">
        <f t="shared" ca="1" si="2"/>
        <v>4.4000000000000004</v>
      </c>
      <c r="G20" s="90"/>
      <c r="H20" s="142"/>
      <c r="I20" s="143"/>
      <c r="J20" s="144">
        <f t="shared" ca="1" si="1"/>
        <v>11.7</v>
      </c>
      <c r="K20" s="88"/>
      <c r="L20" s="91"/>
      <c r="M20" s="21"/>
      <c r="N20" s="44" t="s">
        <v>3</v>
      </c>
      <c r="O20" s="23"/>
      <c r="P20" s="24"/>
      <c r="Q20" s="24"/>
      <c r="R20" s="24"/>
      <c r="S20" s="24"/>
      <c r="T20" s="24"/>
      <c r="U20" s="24"/>
      <c r="V20" s="24"/>
      <c r="W20" s="24"/>
      <c r="X20" s="24"/>
      <c r="Y20" s="24"/>
      <c r="Z20" s="24"/>
      <c r="AA20" s="24"/>
      <c r="AB20" s="24"/>
      <c r="AC20" s="72"/>
      <c r="AD20" s="72"/>
      <c r="AE20" s="72"/>
      <c r="AF20" s="72"/>
      <c r="AG20" s="72"/>
      <c r="AH20" s="72"/>
      <c r="AI20" s="72"/>
      <c r="AJ20" s="72"/>
      <c r="AK20" s="72"/>
      <c r="AL20" s="125"/>
      <c r="AM20" s="72"/>
      <c r="AN20" s="160"/>
      <c r="AO20" s="72"/>
      <c r="AP20" s="72"/>
      <c r="AQ20" s="72">
        <v>11.7</v>
      </c>
      <c r="AR20" s="168">
        <v>4.4000000000000004</v>
      </c>
      <c r="AS20" s="6"/>
    </row>
    <row r="21" spans="1:45" ht="13.5" customHeight="1">
      <c r="A21" s="6"/>
      <c r="B21" s="21" t="s">
        <v>143</v>
      </c>
      <c r="C21" s="22" t="s">
        <v>5</v>
      </c>
      <c r="D21" s="86">
        <f t="shared" ca="1" si="0"/>
        <v>7.9</v>
      </c>
      <c r="E21" s="83"/>
      <c r="F21" s="82">
        <f t="shared" ca="1" si="2"/>
        <v>7.9</v>
      </c>
      <c r="G21" s="90"/>
      <c r="H21" s="142"/>
      <c r="I21" s="143"/>
      <c r="J21" s="144">
        <f t="shared" ca="1" si="1"/>
        <v>20</v>
      </c>
      <c r="K21" s="88"/>
      <c r="L21" s="91"/>
      <c r="M21" s="21" t="s">
        <v>143</v>
      </c>
      <c r="N21" s="44" t="s">
        <v>5</v>
      </c>
      <c r="O21" s="23"/>
      <c r="P21" s="24"/>
      <c r="Q21" s="24"/>
      <c r="R21" s="24"/>
      <c r="S21" s="24"/>
      <c r="T21" s="24"/>
      <c r="U21" s="24"/>
      <c r="V21" s="24"/>
      <c r="W21" s="24"/>
      <c r="X21" s="24"/>
      <c r="Y21" s="24"/>
      <c r="Z21" s="24"/>
      <c r="AA21" s="24"/>
      <c r="AB21" s="24"/>
      <c r="AC21" s="72"/>
      <c r="AD21" s="72"/>
      <c r="AE21" s="72"/>
      <c r="AF21" s="72"/>
      <c r="AG21" s="72"/>
      <c r="AH21" s="72"/>
      <c r="AI21" s="72"/>
      <c r="AJ21" s="72"/>
      <c r="AK21" s="72"/>
      <c r="AL21" s="125"/>
      <c r="AM21" s="72"/>
      <c r="AN21" s="160"/>
      <c r="AO21" s="72"/>
      <c r="AP21" s="72"/>
      <c r="AQ21" s="72">
        <v>20</v>
      </c>
      <c r="AR21" s="168">
        <v>7.9</v>
      </c>
      <c r="AS21" s="6"/>
    </row>
    <row r="22" spans="1:45" ht="13.5" customHeight="1">
      <c r="A22" s="6"/>
      <c r="B22" s="21"/>
      <c r="C22" s="22" t="s">
        <v>6</v>
      </c>
      <c r="D22" s="86">
        <f t="shared" ca="1" si="0"/>
        <v>164.8</v>
      </c>
      <c r="E22" s="83"/>
      <c r="F22" s="82">
        <f t="shared" ca="1" si="2"/>
        <v>164.8</v>
      </c>
      <c r="G22" s="90"/>
      <c r="H22" s="142"/>
      <c r="I22" s="143"/>
      <c r="J22" s="144">
        <f t="shared" ca="1" si="1"/>
        <v>12</v>
      </c>
      <c r="K22" s="88"/>
      <c r="L22" s="91"/>
      <c r="M22" s="21"/>
      <c r="N22" s="44" t="s">
        <v>6</v>
      </c>
      <c r="O22" s="23"/>
      <c r="P22" s="24"/>
      <c r="Q22" s="24"/>
      <c r="R22" s="24"/>
      <c r="S22" s="24"/>
      <c r="T22" s="24"/>
      <c r="U22" s="24"/>
      <c r="V22" s="24"/>
      <c r="W22" s="24"/>
      <c r="X22" s="24"/>
      <c r="Y22" s="24"/>
      <c r="Z22" s="24"/>
      <c r="AA22" s="24"/>
      <c r="AB22" s="24"/>
      <c r="AC22" s="72"/>
      <c r="AD22" s="72"/>
      <c r="AE22" s="72"/>
      <c r="AF22" s="72"/>
      <c r="AG22" s="72"/>
      <c r="AH22" s="72"/>
      <c r="AI22" s="72"/>
      <c r="AJ22" s="72"/>
      <c r="AK22" s="72"/>
      <c r="AL22" s="125"/>
      <c r="AM22" s="72"/>
      <c r="AN22" s="160"/>
      <c r="AO22" s="72"/>
      <c r="AP22" s="72"/>
      <c r="AQ22" s="72">
        <v>12</v>
      </c>
      <c r="AR22" s="168">
        <v>164.8</v>
      </c>
      <c r="AS22" s="6"/>
    </row>
    <row r="23" spans="1:45" ht="13.5" customHeight="1">
      <c r="A23" s="6"/>
      <c r="B23" s="21"/>
      <c r="C23" s="22" t="s">
        <v>7</v>
      </c>
      <c r="D23" s="86">
        <f t="shared" ca="1" si="0"/>
        <v>927.8</v>
      </c>
      <c r="E23" s="83"/>
      <c r="F23" s="82">
        <f t="shared" ca="1" si="2"/>
        <v>927.8</v>
      </c>
      <c r="G23" s="90"/>
      <c r="H23" s="142"/>
      <c r="I23" s="143"/>
      <c r="J23" s="144">
        <f t="shared" ca="1" si="1"/>
        <v>196</v>
      </c>
      <c r="K23" s="88"/>
      <c r="L23" s="91"/>
      <c r="M23" s="21"/>
      <c r="N23" s="44" t="s">
        <v>7</v>
      </c>
      <c r="O23" s="23"/>
      <c r="P23" s="24"/>
      <c r="Q23" s="24"/>
      <c r="R23" s="24"/>
      <c r="S23" s="24"/>
      <c r="T23" s="24"/>
      <c r="U23" s="24"/>
      <c r="V23" s="24"/>
      <c r="W23" s="24"/>
      <c r="X23" s="24"/>
      <c r="Y23" s="24"/>
      <c r="Z23" s="24"/>
      <c r="AA23" s="24"/>
      <c r="AB23" s="24"/>
      <c r="AC23" s="72"/>
      <c r="AD23" s="72"/>
      <c r="AE23" s="72"/>
      <c r="AF23" s="72"/>
      <c r="AG23" s="72"/>
      <c r="AH23" s="72"/>
      <c r="AI23" s="72"/>
      <c r="AJ23" s="72"/>
      <c r="AK23" s="72"/>
      <c r="AL23" s="125"/>
      <c r="AM23" s="72"/>
      <c r="AN23" s="160"/>
      <c r="AO23" s="72"/>
      <c r="AP23" s="72"/>
      <c r="AQ23" s="72">
        <v>196</v>
      </c>
      <c r="AR23" s="168">
        <v>927.8</v>
      </c>
      <c r="AS23" s="6"/>
    </row>
    <row r="24" spans="1:45" ht="13.5" customHeight="1" thickBot="1">
      <c r="A24" s="6"/>
      <c r="B24" s="27"/>
      <c r="C24" s="33" t="s">
        <v>8</v>
      </c>
      <c r="D24" s="92">
        <f t="shared" ca="1" si="0"/>
        <v>1827</v>
      </c>
      <c r="E24" s="84"/>
      <c r="F24" s="96">
        <f t="shared" ca="1" si="2"/>
        <v>1827</v>
      </c>
      <c r="G24" s="94"/>
      <c r="H24" s="145"/>
      <c r="I24" s="146"/>
      <c r="J24" s="147">
        <f t="shared" ca="1" si="1"/>
        <v>1670.7</v>
      </c>
      <c r="K24" s="95"/>
      <c r="L24" s="91"/>
      <c r="M24" s="27"/>
      <c r="N24" s="46" t="s">
        <v>8</v>
      </c>
      <c r="O24" s="34"/>
      <c r="P24" s="35"/>
      <c r="Q24" s="35"/>
      <c r="R24" s="35"/>
      <c r="S24" s="35"/>
      <c r="T24" s="35"/>
      <c r="U24" s="35"/>
      <c r="V24" s="35"/>
      <c r="W24" s="35"/>
      <c r="X24" s="35"/>
      <c r="Y24" s="35"/>
      <c r="Z24" s="35"/>
      <c r="AA24" s="35"/>
      <c r="AB24" s="35"/>
      <c r="AC24" s="76"/>
      <c r="AD24" s="76"/>
      <c r="AE24" s="76"/>
      <c r="AF24" s="76"/>
      <c r="AG24" s="76"/>
      <c r="AH24" s="76"/>
      <c r="AI24" s="76"/>
      <c r="AJ24" s="76"/>
      <c r="AK24" s="76"/>
      <c r="AL24" s="129"/>
      <c r="AM24" s="76"/>
      <c r="AN24" s="153"/>
      <c r="AO24" s="76"/>
      <c r="AP24" s="76"/>
      <c r="AQ24" s="76">
        <v>1670.7</v>
      </c>
      <c r="AR24" s="172">
        <v>1827</v>
      </c>
      <c r="AS24" s="6"/>
    </row>
    <row r="25" spans="1:45" ht="13.5" customHeight="1">
      <c r="A25" s="6"/>
      <c r="B25" s="21"/>
      <c r="C25" s="10" t="s">
        <v>2</v>
      </c>
      <c r="D25" s="86">
        <f t="shared" ca="1" si="0"/>
        <v>1060</v>
      </c>
      <c r="E25" s="83"/>
      <c r="F25" s="80">
        <f t="shared" ca="1" si="2"/>
        <v>1060</v>
      </c>
      <c r="G25" s="90"/>
      <c r="H25" s="139"/>
      <c r="I25" s="140"/>
      <c r="J25" s="141">
        <f t="shared" ca="1" si="1"/>
        <v>2766.1</v>
      </c>
      <c r="K25" s="88"/>
      <c r="L25" s="91"/>
      <c r="M25" s="21"/>
      <c r="N25" s="12" t="s">
        <v>2</v>
      </c>
      <c r="O25" s="18"/>
      <c r="P25" s="19"/>
      <c r="Q25" s="19"/>
      <c r="R25" s="19"/>
      <c r="S25" s="19"/>
      <c r="T25" s="19"/>
      <c r="U25" s="19"/>
      <c r="V25" s="19"/>
      <c r="W25" s="19"/>
      <c r="X25" s="19"/>
      <c r="Y25" s="19"/>
      <c r="Z25" s="19"/>
      <c r="AA25" s="19"/>
      <c r="AB25" s="19"/>
      <c r="AC25" s="71"/>
      <c r="AD25" s="71"/>
      <c r="AE25" s="71"/>
      <c r="AF25" s="71"/>
      <c r="AG25" s="71"/>
      <c r="AH25" s="71"/>
      <c r="AI25" s="71"/>
      <c r="AJ25" s="71"/>
      <c r="AK25" s="71"/>
      <c r="AL25" s="124"/>
      <c r="AM25" s="71"/>
      <c r="AN25" s="159"/>
      <c r="AO25" s="71"/>
      <c r="AP25" s="71"/>
      <c r="AQ25" s="71">
        <v>2766.1</v>
      </c>
      <c r="AR25" s="167">
        <v>1060</v>
      </c>
      <c r="AS25" s="6"/>
    </row>
    <row r="26" spans="1:45" ht="13.5" customHeight="1">
      <c r="A26" s="6"/>
      <c r="B26" s="21"/>
      <c r="C26" s="22" t="s">
        <v>3</v>
      </c>
      <c r="D26" s="86">
        <f t="shared" ca="1" si="0"/>
        <v>1711.2</v>
      </c>
      <c r="E26" s="83"/>
      <c r="F26" s="82">
        <f t="shared" ca="1" si="2"/>
        <v>1711.2</v>
      </c>
      <c r="G26" s="90"/>
      <c r="H26" s="142"/>
      <c r="I26" s="143"/>
      <c r="J26" s="144">
        <f t="shared" ca="1" si="1"/>
        <v>1580</v>
      </c>
      <c r="K26" s="88"/>
      <c r="L26" s="91"/>
      <c r="M26" s="21"/>
      <c r="N26" s="44" t="s">
        <v>3</v>
      </c>
      <c r="O26" s="23"/>
      <c r="P26" s="24"/>
      <c r="Q26" s="24"/>
      <c r="R26" s="24"/>
      <c r="S26" s="24"/>
      <c r="T26" s="24"/>
      <c r="U26" s="24"/>
      <c r="V26" s="24"/>
      <c r="W26" s="24"/>
      <c r="X26" s="24"/>
      <c r="Y26" s="24"/>
      <c r="Z26" s="24"/>
      <c r="AA26" s="24"/>
      <c r="AB26" s="24"/>
      <c r="AC26" s="72"/>
      <c r="AD26" s="72"/>
      <c r="AE26" s="72"/>
      <c r="AF26" s="72"/>
      <c r="AG26" s="72"/>
      <c r="AH26" s="72"/>
      <c r="AI26" s="72"/>
      <c r="AJ26" s="72"/>
      <c r="AK26" s="72"/>
      <c r="AL26" s="125"/>
      <c r="AM26" s="72"/>
      <c r="AN26" s="160"/>
      <c r="AO26" s="72"/>
      <c r="AP26" s="72"/>
      <c r="AQ26" s="72">
        <v>1580</v>
      </c>
      <c r="AR26" s="168">
        <v>1711.2</v>
      </c>
      <c r="AS26" s="6"/>
    </row>
    <row r="27" spans="1:45" ht="13.5" customHeight="1">
      <c r="A27" s="6"/>
      <c r="B27" s="21" t="s">
        <v>144</v>
      </c>
      <c r="C27" s="22" t="s">
        <v>5</v>
      </c>
      <c r="D27" s="86">
        <f t="shared" ca="1" si="0"/>
        <v>1567.6</v>
      </c>
      <c r="E27" s="83"/>
      <c r="F27" s="82">
        <f t="shared" ca="1" si="2"/>
        <v>1567.6</v>
      </c>
      <c r="G27" s="90"/>
      <c r="H27" s="142"/>
      <c r="I27" s="143"/>
      <c r="J27" s="144">
        <f t="shared" ca="1" si="1"/>
        <v>2152</v>
      </c>
      <c r="K27" s="88"/>
      <c r="L27" s="91"/>
      <c r="M27" s="21" t="s">
        <v>144</v>
      </c>
      <c r="N27" s="44" t="s">
        <v>5</v>
      </c>
      <c r="O27" s="23"/>
      <c r="P27" s="24"/>
      <c r="Q27" s="24"/>
      <c r="R27" s="24"/>
      <c r="S27" s="24"/>
      <c r="T27" s="24"/>
      <c r="U27" s="24"/>
      <c r="V27" s="24"/>
      <c r="W27" s="24"/>
      <c r="X27" s="24"/>
      <c r="Y27" s="24"/>
      <c r="Z27" s="24"/>
      <c r="AA27" s="24"/>
      <c r="AB27" s="24"/>
      <c r="AC27" s="72"/>
      <c r="AD27" s="72"/>
      <c r="AE27" s="72"/>
      <c r="AF27" s="72"/>
      <c r="AG27" s="72"/>
      <c r="AH27" s="72"/>
      <c r="AI27" s="72"/>
      <c r="AJ27" s="72"/>
      <c r="AK27" s="72"/>
      <c r="AL27" s="125"/>
      <c r="AM27" s="72"/>
      <c r="AN27" s="160"/>
      <c r="AO27" s="72"/>
      <c r="AP27" s="72"/>
      <c r="AQ27" s="72">
        <v>2152</v>
      </c>
      <c r="AR27" s="168">
        <v>1567.6</v>
      </c>
      <c r="AS27" s="6"/>
    </row>
    <row r="28" spans="1:45" ht="13.5" customHeight="1">
      <c r="A28" s="6"/>
      <c r="B28" s="21"/>
      <c r="C28" s="22" t="s">
        <v>6</v>
      </c>
      <c r="D28" s="86">
        <f t="shared" ca="1" si="0"/>
        <v>890.5</v>
      </c>
      <c r="E28" s="83"/>
      <c r="F28" s="82">
        <f t="shared" ca="1" si="2"/>
        <v>890.5</v>
      </c>
      <c r="G28" s="90"/>
      <c r="H28" s="142"/>
      <c r="I28" s="143"/>
      <c r="J28" s="144">
        <f t="shared" ca="1" si="1"/>
        <v>1511</v>
      </c>
      <c r="K28" s="88"/>
      <c r="L28" s="91"/>
      <c r="M28" s="21"/>
      <c r="N28" s="44" t="s">
        <v>6</v>
      </c>
      <c r="O28" s="23"/>
      <c r="P28" s="24"/>
      <c r="Q28" s="24"/>
      <c r="R28" s="24"/>
      <c r="S28" s="24"/>
      <c r="T28" s="24"/>
      <c r="U28" s="24"/>
      <c r="V28" s="24"/>
      <c r="W28" s="24"/>
      <c r="X28" s="24"/>
      <c r="Y28" s="24"/>
      <c r="Z28" s="24"/>
      <c r="AA28" s="24"/>
      <c r="AB28" s="24"/>
      <c r="AC28" s="72"/>
      <c r="AD28" s="72"/>
      <c r="AE28" s="72"/>
      <c r="AF28" s="72"/>
      <c r="AG28" s="72"/>
      <c r="AH28" s="72"/>
      <c r="AI28" s="72"/>
      <c r="AJ28" s="72"/>
      <c r="AK28" s="72"/>
      <c r="AL28" s="125"/>
      <c r="AM28" s="72"/>
      <c r="AN28" s="160"/>
      <c r="AO28" s="72"/>
      <c r="AP28" s="72"/>
      <c r="AQ28" s="72">
        <v>1511</v>
      </c>
      <c r="AR28" s="168">
        <v>890.5</v>
      </c>
      <c r="AS28" s="6"/>
    </row>
    <row r="29" spans="1:45" ht="13.5" customHeight="1">
      <c r="A29" s="6"/>
      <c r="B29" s="21"/>
      <c r="C29" s="22" t="s">
        <v>7</v>
      </c>
      <c r="D29" s="86">
        <f t="shared" ca="1" si="0"/>
        <v>349.4</v>
      </c>
      <c r="E29" s="83"/>
      <c r="F29" s="82">
        <f t="shared" ca="1" si="2"/>
        <v>349.4</v>
      </c>
      <c r="G29" s="90"/>
      <c r="H29" s="142"/>
      <c r="I29" s="143"/>
      <c r="J29" s="144">
        <f t="shared" ca="1" si="1"/>
        <v>1216.7</v>
      </c>
      <c r="K29" s="88"/>
      <c r="L29" s="91"/>
      <c r="M29" s="21"/>
      <c r="N29" s="44" t="s">
        <v>7</v>
      </c>
      <c r="O29" s="23"/>
      <c r="P29" s="24"/>
      <c r="Q29" s="24"/>
      <c r="R29" s="24"/>
      <c r="S29" s="24"/>
      <c r="T29" s="24"/>
      <c r="U29" s="24"/>
      <c r="V29" s="24"/>
      <c r="W29" s="24"/>
      <c r="X29" s="24"/>
      <c r="Y29" s="24"/>
      <c r="Z29" s="24"/>
      <c r="AA29" s="24"/>
      <c r="AB29" s="24"/>
      <c r="AC29" s="72"/>
      <c r="AD29" s="72"/>
      <c r="AE29" s="72"/>
      <c r="AF29" s="72"/>
      <c r="AG29" s="72"/>
      <c r="AH29" s="72"/>
      <c r="AI29" s="72"/>
      <c r="AJ29" s="72"/>
      <c r="AK29" s="72"/>
      <c r="AL29" s="125"/>
      <c r="AM29" s="72"/>
      <c r="AN29" s="160"/>
      <c r="AO29" s="72"/>
      <c r="AP29" s="72"/>
      <c r="AQ29" s="72">
        <v>1216.7</v>
      </c>
      <c r="AR29" s="168">
        <v>349.4</v>
      </c>
      <c r="AS29" s="6"/>
    </row>
    <row r="30" spans="1:45" ht="13.5" customHeight="1" thickBot="1">
      <c r="A30" s="6"/>
      <c r="B30" s="21"/>
      <c r="C30" s="28" t="s">
        <v>8</v>
      </c>
      <c r="D30" s="92">
        <f t="shared" ca="1" si="0"/>
        <v>505</v>
      </c>
      <c r="E30" s="84"/>
      <c r="F30" s="93">
        <f t="shared" ca="1" si="2"/>
        <v>505</v>
      </c>
      <c r="G30" s="94"/>
      <c r="H30" s="145"/>
      <c r="I30" s="146"/>
      <c r="J30" s="147">
        <f t="shared" ca="1" si="1"/>
        <v>368</v>
      </c>
      <c r="K30" s="95"/>
      <c r="L30" s="91"/>
      <c r="M30" s="21"/>
      <c r="N30" s="16" t="s">
        <v>8</v>
      </c>
      <c r="O30" s="29"/>
      <c r="P30" s="30"/>
      <c r="Q30" s="30"/>
      <c r="R30" s="30"/>
      <c r="S30" s="30"/>
      <c r="T30" s="30"/>
      <c r="U30" s="30"/>
      <c r="V30" s="30"/>
      <c r="W30" s="30"/>
      <c r="X30" s="30"/>
      <c r="Y30" s="30"/>
      <c r="Z30" s="30"/>
      <c r="AA30" s="30"/>
      <c r="AB30" s="30"/>
      <c r="AC30" s="74"/>
      <c r="AD30" s="74"/>
      <c r="AE30" s="74"/>
      <c r="AF30" s="74"/>
      <c r="AG30" s="74"/>
      <c r="AH30" s="74"/>
      <c r="AI30" s="74"/>
      <c r="AJ30" s="74"/>
      <c r="AK30" s="74"/>
      <c r="AL30" s="127"/>
      <c r="AM30" s="74"/>
      <c r="AN30" s="162"/>
      <c r="AO30" s="74"/>
      <c r="AP30" s="74"/>
      <c r="AQ30" s="74">
        <v>368</v>
      </c>
      <c r="AR30" s="170">
        <v>505</v>
      </c>
      <c r="AS30" s="6"/>
    </row>
    <row r="31" spans="1:45" ht="13.5" customHeight="1">
      <c r="A31" s="6"/>
      <c r="B31" s="17"/>
      <c r="C31" s="10" t="s">
        <v>2</v>
      </c>
      <c r="D31" s="86">
        <f t="shared" ca="1" si="0"/>
        <v>1457.2</v>
      </c>
      <c r="E31" s="83"/>
      <c r="F31" s="82">
        <f t="shared" ca="1" si="2"/>
        <v>1457.2</v>
      </c>
      <c r="G31" s="90"/>
      <c r="H31" s="139"/>
      <c r="I31" s="140"/>
      <c r="J31" s="141">
        <f t="shared" ca="1" si="1"/>
        <v>1210.8</v>
      </c>
      <c r="K31" s="88"/>
      <c r="L31" s="91"/>
      <c r="M31" s="17"/>
      <c r="N31" s="12" t="s">
        <v>2</v>
      </c>
      <c r="O31" s="31"/>
      <c r="P31" s="32"/>
      <c r="Q31" s="32"/>
      <c r="R31" s="32"/>
      <c r="S31" s="32"/>
      <c r="T31" s="32"/>
      <c r="U31" s="32"/>
      <c r="V31" s="32"/>
      <c r="W31" s="32"/>
      <c r="X31" s="32"/>
      <c r="Y31" s="32"/>
      <c r="Z31" s="32"/>
      <c r="AA31" s="32"/>
      <c r="AB31" s="32"/>
      <c r="AC31" s="75"/>
      <c r="AD31" s="75"/>
      <c r="AE31" s="75"/>
      <c r="AF31" s="75"/>
      <c r="AG31" s="75"/>
      <c r="AH31" s="75"/>
      <c r="AI31" s="75"/>
      <c r="AJ31" s="75"/>
      <c r="AK31" s="75"/>
      <c r="AL31" s="128"/>
      <c r="AM31" s="75"/>
      <c r="AN31" s="163"/>
      <c r="AO31" s="75"/>
      <c r="AP31" s="75"/>
      <c r="AQ31" s="75">
        <v>1210.8</v>
      </c>
      <c r="AR31" s="171">
        <v>1457.2</v>
      </c>
      <c r="AS31" s="6"/>
    </row>
    <row r="32" spans="1:45" ht="13.5" customHeight="1">
      <c r="A32" s="6"/>
      <c r="B32" s="21"/>
      <c r="C32" s="22" t="s">
        <v>3</v>
      </c>
      <c r="D32" s="86">
        <f t="shared" ca="1" si="0"/>
        <v>1650</v>
      </c>
      <c r="E32" s="83"/>
      <c r="F32" s="82">
        <f t="shared" ca="1" si="2"/>
        <v>1650</v>
      </c>
      <c r="G32" s="90"/>
      <c r="H32" s="142"/>
      <c r="I32" s="143"/>
      <c r="J32" s="144">
        <f t="shared" ca="1" si="1"/>
        <v>1749.2</v>
      </c>
      <c r="K32" s="88"/>
      <c r="L32" s="91"/>
      <c r="M32" s="21"/>
      <c r="N32" s="44" t="s">
        <v>3</v>
      </c>
      <c r="O32" s="23"/>
      <c r="P32" s="24"/>
      <c r="Q32" s="24"/>
      <c r="R32" s="24"/>
      <c r="S32" s="24"/>
      <c r="T32" s="24"/>
      <c r="U32" s="24"/>
      <c r="V32" s="24"/>
      <c r="W32" s="24"/>
      <c r="X32" s="24"/>
      <c r="Y32" s="24"/>
      <c r="Z32" s="24"/>
      <c r="AA32" s="24"/>
      <c r="AB32" s="24"/>
      <c r="AC32" s="72"/>
      <c r="AD32" s="72"/>
      <c r="AE32" s="72"/>
      <c r="AF32" s="72"/>
      <c r="AG32" s="72"/>
      <c r="AH32" s="72"/>
      <c r="AI32" s="72"/>
      <c r="AJ32" s="72"/>
      <c r="AK32" s="72"/>
      <c r="AL32" s="125"/>
      <c r="AM32" s="72"/>
      <c r="AN32" s="160"/>
      <c r="AO32" s="72"/>
      <c r="AP32" s="72"/>
      <c r="AQ32" s="72">
        <v>1749.2</v>
      </c>
      <c r="AR32" s="168">
        <v>1650</v>
      </c>
      <c r="AS32" s="6"/>
    </row>
    <row r="33" spans="1:45" ht="13.5" customHeight="1">
      <c r="A33" s="6"/>
      <c r="B33" s="21" t="s">
        <v>145</v>
      </c>
      <c r="C33" s="22" t="s">
        <v>5</v>
      </c>
      <c r="D33" s="86">
        <f t="shared" ca="1" si="0"/>
        <v>922.8</v>
      </c>
      <c r="E33" s="83"/>
      <c r="F33" s="82">
        <f t="shared" ca="1" si="2"/>
        <v>922.8</v>
      </c>
      <c r="G33" s="90"/>
      <c r="H33" s="142"/>
      <c r="I33" s="143"/>
      <c r="J33" s="144">
        <f t="shared" ca="1" si="1"/>
        <v>1670</v>
      </c>
      <c r="K33" s="88"/>
      <c r="L33" s="91"/>
      <c r="M33" s="21" t="s">
        <v>145</v>
      </c>
      <c r="N33" s="44" t="s">
        <v>5</v>
      </c>
      <c r="O33" s="23"/>
      <c r="P33" s="24"/>
      <c r="Q33" s="24"/>
      <c r="R33" s="24"/>
      <c r="S33" s="24"/>
      <c r="T33" s="24"/>
      <c r="U33" s="24"/>
      <c r="V33" s="24"/>
      <c r="W33" s="24"/>
      <c r="X33" s="24"/>
      <c r="Y33" s="24"/>
      <c r="Z33" s="24"/>
      <c r="AA33" s="24"/>
      <c r="AB33" s="24"/>
      <c r="AC33" s="72"/>
      <c r="AD33" s="72"/>
      <c r="AE33" s="72"/>
      <c r="AF33" s="72"/>
      <c r="AG33" s="72"/>
      <c r="AH33" s="72"/>
      <c r="AI33" s="72"/>
      <c r="AJ33" s="72"/>
      <c r="AK33" s="72"/>
      <c r="AL33" s="125"/>
      <c r="AM33" s="72"/>
      <c r="AN33" s="160"/>
      <c r="AO33" s="72"/>
      <c r="AP33" s="72"/>
      <c r="AQ33" s="72">
        <v>1670</v>
      </c>
      <c r="AR33" s="168">
        <v>922.8</v>
      </c>
      <c r="AS33" s="6"/>
    </row>
    <row r="34" spans="1:45" ht="13.5" customHeight="1">
      <c r="A34" s="6"/>
      <c r="B34" s="21"/>
      <c r="C34" s="22" t="s">
        <v>6</v>
      </c>
      <c r="D34" s="86">
        <f t="shared" ca="1" si="0"/>
        <v>434.2</v>
      </c>
      <c r="E34" s="83"/>
      <c r="F34" s="82">
        <f t="shared" ca="1" si="2"/>
        <v>434.2</v>
      </c>
      <c r="G34" s="90"/>
      <c r="H34" s="142"/>
      <c r="I34" s="143"/>
      <c r="J34" s="144">
        <f t="shared" ca="1" si="1"/>
        <v>2038</v>
      </c>
      <c r="K34" s="88"/>
      <c r="L34" s="91"/>
      <c r="M34" s="21"/>
      <c r="N34" s="44" t="s">
        <v>6</v>
      </c>
      <c r="O34" s="23"/>
      <c r="P34" s="24"/>
      <c r="Q34" s="24"/>
      <c r="R34" s="24"/>
      <c r="S34" s="24"/>
      <c r="T34" s="24"/>
      <c r="U34" s="24"/>
      <c r="V34" s="24"/>
      <c r="W34" s="24"/>
      <c r="X34" s="24"/>
      <c r="Y34" s="24"/>
      <c r="Z34" s="24"/>
      <c r="AA34" s="24"/>
      <c r="AB34" s="24"/>
      <c r="AC34" s="72"/>
      <c r="AD34" s="72"/>
      <c r="AE34" s="72"/>
      <c r="AF34" s="72"/>
      <c r="AG34" s="72"/>
      <c r="AH34" s="72"/>
      <c r="AI34" s="72"/>
      <c r="AJ34" s="72"/>
      <c r="AK34" s="72"/>
      <c r="AL34" s="125"/>
      <c r="AM34" s="72"/>
      <c r="AN34" s="160"/>
      <c r="AO34" s="72"/>
      <c r="AP34" s="72"/>
      <c r="AQ34" s="72">
        <v>2038</v>
      </c>
      <c r="AR34" s="168">
        <v>434.2</v>
      </c>
      <c r="AS34" s="6"/>
    </row>
    <row r="35" spans="1:45" ht="13.5" customHeight="1">
      <c r="A35" s="6"/>
      <c r="B35" s="21"/>
      <c r="C35" s="22" t="s">
        <v>7</v>
      </c>
      <c r="D35" s="86">
        <f t="shared" ca="1" si="0"/>
        <v>109.9</v>
      </c>
      <c r="E35" s="83"/>
      <c r="F35" s="82">
        <f t="shared" ca="1" si="2"/>
        <v>109.9</v>
      </c>
      <c r="G35" s="90"/>
      <c r="H35" s="142"/>
      <c r="I35" s="143"/>
      <c r="J35" s="144">
        <f t="shared" ca="1" si="1"/>
        <v>832.7</v>
      </c>
      <c r="K35" s="88"/>
      <c r="L35" s="91"/>
      <c r="M35" s="21"/>
      <c r="N35" s="44" t="s">
        <v>7</v>
      </c>
      <c r="O35" s="23"/>
      <c r="P35" s="24"/>
      <c r="Q35" s="24"/>
      <c r="R35" s="24"/>
      <c r="S35" s="24"/>
      <c r="T35" s="24"/>
      <c r="U35" s="24"/>
      <c r="V35" s="24"/>
      <c r="W35" s="24"/>
      <c r="X35" s="24"/>
      <c r="Y35" s="24"/>
      <c r="Z35" s="24"/>
      <c r="AA35" s="24"/>
      <c r="AB35" s="24"/>
      <c r="AC35" s="72"/>
      <c r="AD35" s="72"/>
      <c r="AE35" s="72"/>
      <c r="AF35" s="72"/>
      <c r="AG35" s="72"/>
      <c r="AH35" s="72"/>
      <c r="AI35" s="72"/>
      <c r="AJ35" s="72"/>
      <c r="AK35" s="72"/>
      <c r="AL35" s="125"/>
      <c r="AM35" s="72"/>
      <c r="AN35" s="160"/>
      <c r="AO35" s="72"/>
      <c r="AP35" s="72"/>
      <c r="AQ35" s="72">
        <v>832.7</v>
      </c>
      <c r="AR35" s="168">
        <v>109.9</v>
      </c>
      <c r="AS35" s="6"/>
    </row>
    <row r="36" spans="1:45" ht="13.5" customHeight="1" thickBot="1">
      <c r="A36" s="6"/>
      <c r="B36" s="27"/>
      <c r="C36" s="28" t="s">
        <v>8</v>
      </c>
      <c r="D36" s="92">
        <f t="shared" ca="1" si="0"/>
        <v>107.1</v>
      </c>
      <c r="E36" s="84"/>
      <c r="F36" s="93">
        <f t="shared" ca="1" si="2"/>
        <v>107.1</v>
      </c>
      <c r="G36" s="94"/>
      <c r="H36" s="145"/>
      <c r="I36" s="146"/>
      <c r="J36" s="147">
        <f t="shared" ca="1" si="1"/>
        <v>256.60000000000002</v>
      </c>
      <c r="K36" s="95"/>
      <c r="L36" s="91"/>
      <c r="M36" s="27"/>
      <c r="N36" s="16" t="s">
        <v>8</v>
      </c>
      <c r="O36" s="36"/>
      <c r="P36" s="26"/>
      <c r="Q36" s="26"/>
      <c r="R36" s="26"/>
      <c r="S36" s="26"/>
      <c r="T36" s="26"/>
      <c r="U36" s="26"/>
      <c r="V36" s="26"/>
      <c r="W36" s="26"/>
      <c r="X36" s="26"/>
      <c r="Y36" s="26"/>
      <c r="Z36" s="26"/>
      <c r="AA36" s="26"/>
      <c r="AB36" s="26"/>
      <c r="AC36" s="73"/>
      <c r="AD36" s="73"/>
      <c r="AE36" s="73"/>
      <c r="AF36" s="73"/>
      <c r="AG36" s="73"/>
      <c r="AH36" s="73"/>
      <c r="AI36" s="73"/>
      <c r="AJ36" s="73"/>
      <c r="AK36" s="73"/>
      <c r="AL36" s="126"/>
      <c r="AM36" s="73"/>
      <c r="AN36" s="161"/>
      <c r="AO36" s="73"/>
      <c r="AP36" s="73"/>
      <c r="AQ36" s="73">
        <v>256.60000000000002</v>
      </c>
      <c r="AR36" s="169">
        <v>107.1</v>
      </c>
      <c r="AS36" s="6"/>
    </row>
    <row r="37" spans="1:45" ht="13.5" customHeight="1">
      <c r="A37" s="6"/>
      <c r="B37" s="21"/>
      <c r="C37" s="10" t="s">
        <v>2</v>
      </c>
      <c r="D37" s="86">
        <f t="shared" ca="1" si="0"/>
        <v>116.6</v>
      </c>
      <c r="E37" s="83"/>
      <c r="F37" s="82">
        <f t="shared" ca="1" si="2"/>
        <v>116.6</v>
      </c>
      <c r="G37" s="90"/>
      <c r="H37" s="139"/>
      <c r="I37" s="140"/>
      <c r="J37" s="141">
        <f t="shared" ca="1" si="1"/>
        <v>59</v>
      </c>
      <c r="K37" s="88"/>
      <c r="L37" s="91"/>
      <c r="M37" s="21"/>
      <c r="N37" s="12" t="s">
        <v>2</v>
      </c>
      <c r="O37" s="18"/>
      <c r="P37" s="19"/>
      <c r="Q37" s="19"/>
      <c r="R37" s="19"/>
      <c r="S37" s="19"/>
      <c r="T37" s="19"/>
      <c r="U37" s="19"/>
      <c r="V37" s="19"/>
      <c r="W37" s="19"/>
      <c r="X37" s="19"/>
      <c r="Y37" s="19"/>
      <c r="Z37" s="19"/>
      <c r="AA37" s="19"/>
      <c r="AB37" s="19"/>
      <c r="AC37" s="71"/>
      <c r="AD37" s="71"/>
      <c r="AE37" s="71"/>
      <c r="AF37" s="71"/>
      <c r="AG37" s="71"/>
      <c r="AH37" s="71"/>
      <c r="AI37" s="71"/>
      <c r="AJ37" s="71"/>
      <c r="AK37" s="71"/>
      <c r="AL37" s="124"/>
      <c r="AM37" s="71"/>
      <c r="AN37" s="159"/>
      <c r="AO37" s="71"/>
      <c r="AP37" s="71"/>
      <c r="AQ37" s="71">
        <v>59</v>
      </c>
      <c r="AR37" s="167">
        <v>116.6</v>
      </c>
      <c r="AS37" s="6"/>
    </row>
    <row r="38" spans="1:45" ht="13.5" customHeight="1">
      <c r="A38" s="6"/>
      <c r="B38" s="21"/>
      <c r="C38" s="22" t="s">
        <v>3</v>
      </c>
      <c r="D38" s="86">
        <f t="shared" ca="1" si="0"/>
        <v>244.4</v>
      </c>
      <c r="E38" s="83"/>
      <c r="F38" s="82">
        <f t="shared" ca="1" si="2"/>
        <v>244.4</v>
      </c>
      <c r="G38" s="90"/>
      <c r="H38" s="142"/>
      <c r="I38" s="143"/>
      <c r="J38" s="144">
        <f t="shared" ca="1" si="1"/>
        <v>52</v>
      </c>
      <c r="K38" s="88"/>
      <c r="L38" s="91"/>
      <c r="M38" s="21"/>
      <c r="N38" s="44" t="s">
        <v>3</v>
      </c>
      <c r="O38" s="23"/>
      <c r="P38" s="24"/>
      <c r="Q38" s="24"/>
      <c r="R38" s="24"/>
      <c r="S38" s="24"/>
      <c r="T38" s="24"/>
      <c r="U38" s="24"/>
      <c r="V38" s="24"/>
      <c r="W38" s="24"/>
      <c r="X38" s="24"/>
      <c r="Y38" s="24"/>
      <c r="Z38" s="24"/>
      <c r="AA38" s="24"/>
      <c r="AB38" s="24"/>
      <c r="AC38" s="72"/>
      <c r="AD38" s="72"/>
      <c r="AE38" s="72"/>
      <c r="AF38" s="72"/>
      <c r="AG38" s="72"/>
      <c r="AH38" s="72"/>
      <c r="AI38" s="72"/>
      <c r="AJ38" s="72"/>
      <c r="AK38" s="72"/>
      <c r="AL38" s="125"/>
      <c r="AM38" s="72"/>
      <c r="AN38" s="160"/>
      <c r="AO38" s="72"/>
      <c r="AP38" s="72"/>
      <c r="AQ38" s="72">
        <v>52</v>
      </c>
      <c r="AR38" s="168">
        <v>244.4</v>
      </c>
      <c r="AS38" s="6"/>
    </row>
    <row r="39" spans="1:45" ht="13.5" customHeight="1">
      <c r="A39" s="6"/>
      <c r="B39" s="21" t="s">
        <v>146</v>
      </c>
      <c r="C39" s="22" t="s">
        <v>5</v>
      </c>
      <c r="D39" s="86">
        <f t="shared" ca="1" si="0"/>
        <v>161.6</v>
      </c>
      <c r="E39" s="83"/>
      <c r="F39" s="82">
        <f t="shared" ca="1" si="2"/>
        <v>161.6</v>
      </c>
      <c r="G39" s="90"/>
      <c r="H39" s="142"/>
      <c r="I39" s="143"/>
      <c r="J39" s="144">
        <f t="shared" ca="1" si="1"/>
        <v>49.3</v>
      </c>
      <c r="K39" s="88"/>
      <c r="L39" s="91"/>
      <c r="M39" s="21" t="s">
        <v>146</v>
      </c>
      <c r="N39" s="44" t="s">
        <v>5</v>
      </c>
      <c r="O39" s="23"/>
      <c r="P39" s="24"/>
      <c r="Q39" s="24"/>
      <c r="R39" s="24"/>
      <c r="S39" s="24"/>
      <c r="T39" s="24"/>
      <c r="U39" s="24"/>
      <c r="V39" s="24"/>
      <c r="W39" s="24"/>
      <c r="X39" s="24"/>
      <c r="Y39" s="24"/>
      <c r="Z39" s="24"/>
      <c r="AA39" s="24"/>
      <c r="AB39" s="24"/>
      <c r="AC39" s="72"/>
      <c r="AD39" s="72"/>
      <c r="AE39" s="72"/>
      <c r="AF39" s="72"/>
      <c r="AG39" s="72"/>
      <c r="AH39" s="72"/>
      <c r="AI39" s="72"/>
      <c r="AJ39" s="72"/>
      <c r="AK39" s="72"/>
      <c r="AL39" s="125"/>
      <c r="AM39" s="72"/>
      <c r="AN39" s="160"/>
      <c r="AO39" s="72"/>
      <c r="AP39" s="72"/>
      <c r="AQ39" s="72">
        <v>49.3</v>
      </c>
      <c r="AR39" s="168">
        <v>161.6</v>
      </c>
      <c r="AS39" s="6"/>
    </row>
    <row r="40" spans="1:45" ht="13.5" customHeight="1">
      <c r="A40" s="6"/>
      <c r="B40" s="21"/>
      <c r="C40" s="22" t="s">
        <v>6</v>
      </c>
      <c r="D40" s="86">
        <f t="shared" ca="1" si="0"/>
        <v>127.9</v>
      </c>
      <c r="E40" s="83"/>
      <c r="F40" s="82">
        <f t="shared" ca="1" si="2"/>
        <v>127.9</v>
      </c>
      <c r="G40" s="90"/>
      <c r="H40" s="142"/>
      <c r="I40" s="143"/>
      <c r="J40" s="144">
        <f t="shared" ca="1" si="1"/>
        <v>64.7</v>
      </c>
      <c r="K40" s="88"/>
      <c r="L40" s="91"/>
      <c r="M40" s="21"/>
      <c r="N40" s="44" t="s">
        <v>6</v>
      </c>
      <c r="O40" s="23"/>
      <c r="P40" s="24"/>
      <c r="Q40" s="24"/>
      <c r="R40" s="24"/>
      <c r="S40" s="24"/>
      <c r="T40" s="24"/>
      <c r="U40" s="24"/>
      <c r="V40" s="24"/>
      <c r="W40" s="24"/>
      <c r="X40" s="24"/>
      <c r="Y40" s="24"/>
      <c r="Z40" s="24"/>
      <c r="AA40" s="24"/>
      <c r="AB40" s="24"/>
      <c r="AC40" s="72"/>
      <c r="AD40" s="72"/>
      <c r="AE40" s="72"/>
      <c r="AF40" s="72"/>
      <c r="AG40" s="72"/>
      <c r="AH40" s="72"/>
      <c r="AI40" s="72"/>
      <c r="AJ40" s="72"/>
      <c r="AK40" s="72"/>
      <c r="AL40" s="125"/>
      <c r="AM40" s="72"/>
      <c r="AN40" s="160"/>
      <c r="AO40" s="72"/>
      <c r="AP40" s="72"/>
      <c r="AQ40" s="72">
        <v>64.7</v>
      </c>
      <c r="AR40" s="168">
        <v>127.9</v>
      </c>
      <c r="AS40" s="6"/>
    </row>
    <row r="41" spans="1:45" ht="13.5" customHeight="1">
      <c r="A41" s="6"/>
      <c r="B41" s="21"/>
      <c r="C41" s="22" t="s">
        <v>7</v>
      </c>
      <c r="D41" s="86">
        <f t="shared" ca="1" si="0"/>
        <v>63.6</v>
      </c>
      <c r="E41" s="83"/>
      <c r="F41" s="82">
        <f t="shared" ca="1" si="2"/>
        <v>63.6</v>
      </c>
      <c r="G41" s="90"/>
      <c r="H41" s="142"/>
      <c r="I41" s="143"/>
      <c r="J41" s="144">
        <f t="shared" ca="1" si="1"/>
        <v>66</v>
      </c>
      <c r="K41" s="88"/>
      <c r="L41" s="91"/>
      <c r="M41" s="21"/>
      <c r="N41" s="44" t="s">
        <v>7</v>
      </c>
      <c r="O41" s="23"/>
      <c r="P41" s="24"/>
      <c r="Q41" s="24"/>
      <c r="R41" s="24"/>
      <c r="S41" s="24"/>
      <c r="T41" s="24"/>
      <c r="U41" s="24"/>
      <c r="V41" s="24"/>
      <c r="W41" s="24"/>
      <c r="X41" s="24"/>
      <c r="Y41" s="24"/>
      <c r="Z41" s="24"/>
      <c r="AA41" s="24"/>
      <c r="AB41" s="24"/>
      <c r="AC41" s="72"/>
      <c r="AD41" s="72"/>
      <c r="AE41" s="72"/>
      <c r="AF41" s="72"/>
      <c r="AG41" s="72"/>
      <c r="AH41" s="72"/>
      <c r="AI41" s="72"/>
      <c r="AJ41" s="72"/>
      <c r="AK41" s="72"/>
      <c r="AL41" s="125"/>
      <c r="AM41" s="72"/>
      <c r="AN41" s="160"/>
      <c r="AO41" s="72"/>
      <c r="AP41" s="72"/>
      <c r="AQ41" s="72">
        <v>66</v>
      </c>
      <c r="AR41" s="168">
        <v>63.6</v>
      </c>
      <c r="AS41" s="6"/>
    </row>
    <row r="42" spans="1:45" ht="13.5" customHeight="1" thickBot="1">
      <c r="A42" s="6"/>
      <c r="B42" s="21"/>
      <c r="C42" s="28" t="s">
        <v>8</v>
      </c>
      <c r="D42" s="92">
        <f t="shared" ca="1" si="0"/>
        <v>85.2</v>
      </c>
      <c r="E42" s="84"/>
      <c r="F42" s="93">
        <f t="shared" ca="1" si="2"/>
        <v>85.2</v>
      </c>
      <c r="G42" s="94"/>
      <c r="H42" s="145"/>
      <c r="I42" s="146"/>
      <c r="J42" s="147">
        <f t="shared" ca="1" si="1"/>
        <v>12.5</v>
      </c>
      <c r="K42" s="95"/>
      <c r="L42" s="91"/>
      <c r="M42" s="21"/>
      <c r="N42" s="16" t="s">
        <v>8</v>
      </c>
      <c r="O42" s="29"/>
      <c r="P42" s="30"/>
      <c r="Q42" s="30"/>
      <c r="R42" s="30"/>
      <c r="S42" s="30"/>
      <c r="T42" s="30"/>
      <c r="U42" s="30"/>
      <c r="V42" s="30"/>
      <c r="W42" s="30"/>
      <c r="X42" s="30"/>
      <c r="Y42" s="30"/>
      <c r="Z42" s="30"/>
      <c r="AA42" s="30"/>
      <c r="AB42" s="30"/>
      <c r="AC42" s="74"/>
      <c r="AD42" s="74"/>
      <c r="AE42" s="74"/>
      <c r="AF42" s="74"/>
      <c r="AG42" s="74"/>
      <c r="AH42" s="74"/>
      <c r="AI42" s="74"/>
      <c r="AJ42" s="74"/>
      <c r="AK42" s="74"/>
      <c r="AL42" s="127"/>
      <c r="AM42" s="74"/>
      <c r="AN42" s="162"/>
      <c r="AO42" s="74"/>
      <c r="AP42" s="74"/>
      <c r="AQ42" s="74">
        <v>12.5</v>
      </c>
      <c r="AR42" s="170">
        <v>85.2</v>
      </c>
      <c r="AS42" s="6"/>
    </row>
    <row r="43" spans="1:45" ht="13.5" customHeight="1">
      <c r="A43" s="6"/>
      <c r="B43" s="17"/>
      <c r="C43" s="10" t="s">
        <v>2</v>
      </c>
      <c r="D43" s="86">
        <f t="shared" ca="1" si="0"/>
        <v>130.5</v>
      </c>
      <c r="E43" s="83"/>
      <c r="F43" s="82">
        <f t="shared" ca="1" si="2"/>
        <v>130.5</v>
      </c>
      <c r="G43" s="90"/>
      <c r="H43" s="139"/>
      <c r="I43" s="140"/>
      <c r="J43" s="141">
        <f t="shared" ca="1" si="1"/>
        <v>20.7</v>
      </c>
      <c r="K43" s="88"/>
      <c r="L43" s="91"/>
      <c r="M43" s="17"/>
      <c r="N43" s="12" t="s">
        <v>2</v>
      </c>
      <c r="O43" s="31"/>
      <c r="P43" s="32"/>
      <c r="Q43" s="32"/>
      <c r="R43" s="32"/>
      <c r="S43" s="32"/>
      <c r="T43" s="32"/>
      <c r="U43" s="32"/>
      <c r="V43" s="32"/>
      <c r="W43" s="32"/>
      <c r="X43" s="32"/>
      <c r="Y43" s="32"/>
      <c r="Z43" s="32"/>
      <c r="AA43" s="32"/>
      <c r="AB43" s="32"/>
      <c r="AC43" s="75"/>
      <c r="AD43" s="75"/>
      <c r="AE43" s="75"/>
      <c r="AF43" s="75"/>
      <c r="AG43" s="75"/>
      <c r="AH43" s="75"/>
      <c r="AI43" s="75"/>
      <c r="AJ43" s="75"/>
      <c r="AK43" s="75"/>
      <c r="AL43" s="128"/>
      <c r="AM43" s="75"/>
      <c r="AN43" s="163"/>
      <c r="AO43" s="75"/>
      <c r="AP43" s="75"/>
      <c r="AQ43" s="75">
        <v>20.7</v>
      </c>
      <c r="AR43" s="171">
        <v>130.5</v>
      </c>
      <c r="AS43" s="6"/>
    </row>
    <row r="44" spans="1:45" ht="13.5" customHeight="1">
      <c r="A44" s="6"/>
      <c r="B44" s="21"/>
      <c r="C44" s="22" t="s">
        <v>3</v>
      </c>
      <c r="D44" s="86">
        <f t="shared" ca="1" si="0"/>
        <v>119.9</v>
      </c>
      <c r="E44" s="83"/>
      <c r="F44" s="82">
        <f t="shared" ca="1" si="2"/>
        <v>119.9</v>
      </c>
      <c r="G44" s="90"/>
      <c r="H44" s="142"/>
      <c r="I44" s="143"/>
      <c r="J44" s="144">
        <f t="shared" ca="1" si="1"/>
        <v>75.3</v>
      </c>
      <c r="K44" s="88"/>
      <c r="L44" s="91"/>
      <c r="M44" s="21"/>
      <c r="N44" s="44" t="s">
        <v>3</v>
      </c>
      <c r="O44" s="23"/>
      <c r="P44" s="24"/>
      <c r="Q44" s="24"/>
      <c r="R44" s="24"/>
      <c r="S44" s="24"/>
      <c r="T44" s="24"/>
      <c r="U44" s="24"/>
      <c r="V44" s="24"/>
      <c r="W44" s="24"/>
      <c r="X44" s="24"/>
      <c r="Y44" s="24"/>
      <c r="Z44" s="24"/>
      <c r="AA44" s="24"/>
      <c r="AB44" s="24"/>
      <c r="AC44" s="72"/>
      <c r="AD44" s="72"/>
      <c r="AE44" s="72"/>
      <c r="AF44" s="72"/>
      <c r="AG44" s="72"/>
      <c r="AH44" s="72"/>
      <c r="AI44" s="72"/>
      <c r="AJ44" s="72"/>
      <c r="AK44" s="72"/>
      <c r="AL44" s="125"/>
      <c r="AM44" s="72"/>
      <c r="AN44" s="160"/>
      <c r="AO44" s="72"/>
      <c r="AP44" s="72"/>
      <c r="AQ44" s="72">
        <v>75.3</v>
      </c>
      <c r="AR44" s="168">
        <v>119.9</v>
      </c>
      <c r="AS44" s="6"/>
    </row>
    <row r="45" spans="1:45" ht="13.5" customHeight="1">
      <c r="A45" s="6"/>
      <c r="B45" s="21" t="s">
        <v>147</v>
      </c>
      <c r="C45" s="22" t="s">
        <v>5</v>
      </c>
      <c r="D45" s="86">
        <f t="shared" ca="1" si="0"/>
        <v>184.8</v>
      </c>
      <c r="E45" s="83"/>
      <c r="F45" s="82">
        <f t="shared" ca="1" si="2"/>
        <v>184.8</v>
      </c>
      <c r="G45" s="90"/>
      <c r="H45" s="142"/>
      <c r="I45" s="143"/>
      <c r="J45" s="144">
        <f t="shared" ca="1" si="1"/>
        <v>131</v>
      </c>
      <c r="K45" s="88"/>
      <c r="L45" s="91"/>
      <c r="M45" s="21" t="s">
        <v>147</v>
      </c>
      <c r="N45" s="44" t="s">
        <v>5</v>
      </c>
      <c r="O45" s="23"/>
      <c r="P45" s="24"/>
      <c r="Q45" s="24"/>
      <c r="R45" s="24"/>
      <c r="S45" s="24"/>
      <c r="T45" s="24"/>
      <c r="U45" s="24"/>
      <c r="V45" s="24"/>
      <c r="W45" s="24"/>
      <c r="X45" s="24"/>
      <c r="Y45" s="24"/>
      <c r="Z45" s="24"/>
      <c r="AA45" s="24"/>
      <c r="AB45" s="24"/>
      <c r="AC45" s="72"/>
      <c r="AD45" s="72"/>
      <c r="AE45" s="72"/>
      <c r="AF45" s="72"/>
      <c r="AG45" s="72"/>
      <c r="AH45" s="72"/>
      <c r="AI45" s="72"/>
      <c r="AJ45" s="72"/>
      <c r="AK45" s="72"/>
      <c r="AL45" s="125"/>
      <c r="AM45" s="72"/>
      <c r="AN45" s="160"/>
      <c r="AO45" s="72"/>
      <c r="AP45" s="72"/>
      <c r="AQ45" s="72">
        <v>131</v>
      </c>
      <c r="AR45" s="168">
        <v>184.8</v>
      </c>
      <c r="AS45" s="6"/>
    </row>
    <row r="46" spans="1:45" ht="13.5" customHeight="1">
      <c r="A46" s="6"/>
      <c r="B46" s="21"/>
      <c r="C46" s="22" t="s">
        <v>6</v>
      </c>
      <c r="D46" s="86">
        <f t="shared" ca="1" si="0"/>
        <v>255.7</v>
      </c>
      <c r="E46" s="83"/>
      <c r="F46" s="82">
        <f t="shared" ca="1" si="2"/>
        <v>255.7</v>
      </c>
      <c r="G46" s="90"/>
      <c r="H46" s="142"/>
      <c r="I46" s="143"/>
      <c r="J46" s="144">
        <f t="shared" ca="1" si="1"/>
        <v>205</v>
      </c>
      <c r="K46" s="88"/>
      <c r="L46" s="91"/>
      <c r="M46" s="21"/>
      <c r="N46" s="44" t="s">
        <v>6</v>
      </c>
      <c r="O46" s="23"/>
      <c r="P46" s="24"/>
      <c r="Q46" s="24"/>
      <c r="R46" s="24"/>
      <c r="S46" s="24"/>
      <c r="T46" s="24"/>
      <c r="U46" s="24"/>
      <c r="V46" s="24"/>
      <c r="W46" s="24"/>
      <c r="X46" s="24"/>
      <c r="Y46" s="24"/>
      <c r="Z46" s="24"/>
      <c r="AA46" s="24"/>
      <c r="AB46" s="24"/>
      <c r="AC46" s="72"/>
      <c r="AD46" s="72"/>
      <c r="AE46" s="72"/>
      <c r="AF46" s="72"/>
      <c r="AG46" s="72"/>
      <c r="AH46" s="72"/>
      <c r="AI46" s="72"/>
      <c r="AJ46" s="72"/>
      <c r="AK46" s="72"/>
      <c r="AL46" s="125"/>
      <c r="AM46" s="72"/>
      <c r="AN46" s="160"/>
      <c r="AO46" s="72"/>
      <c r="AP46" s="72"/>
      <c r="AQ46" s="72">
        <v>205</v>
      </c>
      <c r="AR46" s="168">
        <v>255.7</v>
      </c>
      <c r="AS46" s="6"/>
    </row>
    <row r="47" spans="1:45" ht="13.5" customHeight="1">
      <c r="A47" s="6"/>
      <c r="B47" s="21"/>
      <c r="C47" s="22" t="s">
        <v>7</v>
      </c>
      <c r="D47" s="86">
        <f t="shared" ca="1" si="0"/>
        <v>278.3</v>
      </c>
      <c r="E47" s="83"/>
      <c r="F47" s="82">
        <f t="shared" ca="1" si="2"/>
        <v>278.3</v>
      </c>
      <c r="G47" s="90"/>
      <c r="H47" s="142"/>
      <c r="I47" s="143"/>
      <c r="J47" s="144">
        <f t="shared" ca="1" si="1"/>
        <v>140</v>
      </c>
      <c r="K47" s="88"/>
      <c r="L47" s="91"/>
      <c r="M47" s="21"/>
      <c r="N47" s="44" t="s">
        <v>7</v>
      </c>
      <c r="O47" s="23"/>
      <c r="P47" s="24"/>
      <c r="Q47" s="24"/>
      <c r="R47" s="24"/>
      <c r="S47" s="24"/>
      <c r="T47" s="24"/>
      <c r="U47" s="24"/>
      <c r="V47" s="24"/>
      <c r="W47" s="24"/>
      <c r="X47" s="24"/>
      <c r="Y47" s="24"/>
      <c r="Z47" s="24"/>
      <c r="AA47" s="24"/>
      <c r="AB47" s="24"/>
      <c r="AC47" s="72"/>
      <c r="AD47" s="72"/>
      <c r="AE47" s="72"/>
      <c r="AF47" s="72"/>
      <c r="AG47" s="72"/>
      <c r="AH47" s="72"/>
      <c r="AI47" s="72"/>
      <c r="AJ47" s="72"/>
      <c r="AK47" s="72"/>
      <c r="AL47" s="125"/>
      <c r="AM47" s="72"/>
      <c r="AN47" s="160"/>
      <c r="AO47" s="72"/>
      <c r="AP47" s="72"/>
      <c r="AQ47" s="72">
        <v>140</v>
      </c>
      <c r="AR47" s="168">
        <v>278.3</v>
      </c>
      <c r="AS47" s="6"/>
    </row>
    <row r="48" spans="1:45" ht="13.5" customHeight="1" thickBot="1">
      <c r="A48" s="6"/>
      <c r="B48" s="27"/>
      <c r="C48" s="28" t="s">
        <v>8</v>
      </c>
      <c r="D48" s="92">
        <f t="shared" ca="1" si="0"/>
        <v>81.8</v>
      </c>
      <c r="E48" s="84"/>
      <c r="F48" s="93">
        <f t="shared" ca="1" si="2"/>
        <v>81.8</v>
      </c>
      <c r="G48" s="94"/>
      <c r="H48" s="145"/>
      <c r="I48" s="146"/>
      <c r="J48" s="147">
        <f t="shared" ca="1" si="1"/>
        <v>119</v>
      </c>
      <c r="K48" s="95"/>
      <c r="L48" s="91"/>
      <c r="M48" s="27"/>
      <c r="N48" s="16" t="s">
        <v>8</v>
      </c>
      <c r="O48" s="36"/>
      <c r="P48" s="26"/>
      <c r="Q48" s="26"/>
      <c r="R48" s="26"/>
      <c r="S48" s="26"/>
      <c r="T48" s="26"/>
      <c r="U48" s="26"/>
      <c r="V48" s="26"/>
      <c r="W48" s="26"/>
      <c r="X48" s="26"/>
      <c r="Y48" s="26"/>
      <c r="Z48" s="26"/>
      <c r="AA48" s="26"/>
      <c r="AB48" s="26"/>
      <c r="AC48" s="73"/>
      <c r="AD48" s="73"/>
      <c r="AE48" s="73"/>
      <c r="AF48" s="73"/>
      <c r="AG48" s="73"/>
      <c r="AH48" s="73"/>
      <c r="AI48" s="73"/>
      <c r="AJ48" s="73"/>
      <c r="AK48" s="73"/>
      <c r="AL48" s="126"/>
      <c r="AM48" s="73"/>
      <c r="AN48" s="161"/>
      <c r="AO48" s="73"/>
      <c r="AP48" s="73"/>
      <c r="AQ48" s="73">
        <v>119</v>
      </c>
      <c r="AR48" s="169">
        <v>81.8</v>
      </c>
      <c r="AS48" s="6"/>
    </row>
    <row r="49" spans="1:45" ht="13.5" customHeight="1">
      <c r="A49" s="6"/>
      <c r="B49" s="21"/>
      <c r="C49" s="10" t="s">
        <v>2</v>
      </c>
      <c r="D49" s="86">
        <f t="shared" ca="1" si="0"/>
        <v>58.2</v>
      </c>
      <c r="E49" s="83"/>
      <c r="F49" s="82">
        <f t="shared" ca="1" si="2"/>
        <v>58.2</v>
      </c>
      <c r="G49" s="90"/>
      <c r="H49" s="139"/>
      <c r="I49" s="140"/>
      <c r="J49" s="141">
        <f t="shared" ca="1" si="1"/>
        <v>230</v>
      </c>
      <c r="K49" s="88"/>
      <c r="L49" s="91"/>
      <c r="M49" s="21"/>
      <c r="N49" s="12" t="s">
        <v>2</v>
      </c>
      <c r="O49" s="18"/>
      <c r="P49" s="19"/>
      <c r="Q49" s="19"/>
      <c r="R49" s="19"/>
      <c r="S49" s="19"/>
      <c r="T49" s="19"/>
      <c r="U49" s="19"/>
      <c r="V49" s="19"/>
      <c r="W49" s="19"/>
      <c r="X49" s="19"/>
      <c r="Y49" s="19"/>
      <c r="Z49" s="19"/>
      <c r="AA49" s="19"/>
      <c r="AB49" s="19"/>
      <c r="AC49" s="71"/>
      <c r="AD49" s="71"/>
      <c r="AE49" s="71"/>
      <c r="AF49" s="71"/>
      <c r="AG49" s="71"/>
      <c r="AH49" s="71"/>
      <c r="AI49" s="71"/>
      <c r="AJ49" s="71"/>
      <c r="AK49" s="71"/>
      <c r="AL49" s="124"/>
      <c r="AM49" s="71"/>
      <c r="AN49" s="159"/>
      <c r="AO49" s="71"/>
      <c r="AP49" s="71"/>
      <c r="AQ49" s="71">
        <v>230</v>
      </c>
      <c r="AR49" s="167">
        <v>58.2</v>
      </c>
      <c r="AS49" s="6"/>
    </row>
    <row r="50" spans="1:45" ht="13.5" customHeight="1">
      <c r="A50" s="6"/>
      <c r="B50" s="21"/>
      <c r="C50" s="22" t="s">
        <v>3</v>
      </c>
      <c r="D50" s="86">
        <f t="shared" ca="1" si="0"/>
        <v>75</v>
      </c>
      <c r="E50" s="83"/>
      <c r="F50" s="82">
        <f t="shared" ca="1" si="2"/>
        <v>75</v>
      </c>
      <c r="G50" s="90"/>
      <c r="H50" s="142"/>
      <c r="I50" s="143"/>
      <c r="J50" s="144">
        <f t="shared" ca="1" si="1"/>
        <v>96.8</v>
      </c>
      <c r="K50" s="88"/>
      <c r="L50" s="91"/>
      <c r="M50" s="21"/>
      <c r="N50" s="44" t="s">
        <v>3</v>
      </c>
      <c r="O50" s="23"/>
      <c r="P50" s="24"/>
      <c r="Q50" s="24"/>
      <c r="R50" s="24"/>
      <c r="S50" s="24"/>
      <c r="T50" s="24"/>
      <c r="U50" s="24"/>
      <c r="V50" s="24"/>
      <c r="W50" s="24"/>
      <c r="X50" s="24"/>
      <c r="Y50" s="24"/>
      <c r="Z50" s="24"/>
      <c r="AA50" s="24"/>
      <c r="AB50" s="24"/>
      <c r="AC50" s="72"/>
      <c r="AD50" s="72"/>
      <c r="AE50" s="72"/>
      <c r="AF50" s="72"/>
      <c r="AG50" s="72"/>
      <c r="AH50" s="72"/>
      <c r="AI50" s="72"/>
      <c r="AJ50" s="72"/>
      <c r="AK50" s="72"/>
      <c r="AL50" s="125"/>
      <c r="AM50" s="72"/>
      <c r="AN50" s="160"/>
      <c r="AO50" s="72"/>
      <c r="AP50" s="72"/>
      <c r="AQ50" s="72">
        <v>96.8</v>
      </c>
      <c r="AR50" s="168">
        <v>75</v>
      </c>
      <c r="AS50" s="6"/>
    </row>
    <row r="51" spans="1:45" ht="13.5" customHeight="1">
      <c r="A51" s="6"/>
      <c r="B51" s="21" t="s">
        <v>148</v>
      </c>
      <c r="C51" s="22" t="s">
        <v>5</v>
      </c>
      <c r="D51" s="86">
        <f t="shared" ca="1" si="0"/>
        <v>80.7</v>
      </c>
      <c r="E51" s="83"/>
      <c r="F51" s="82">
        <f t="shared" ca="1" si="2"/>
        <v>80.7</v>
      </c>
      <c r="G51" s="90"/>
      <c r="H51" s="142"/>
      <c r="I51" s="143"/>
      <c r="J51" s="144">
        <f t="shared" ca="1" si="1"/>
        <v>84.2</v>
      </c>
      <c r="K51" s="88"/>
      <c r="L51" s="91"/>
      <c r="M51" s="21" t="s">
        <v>148</v>
      </c>
      <c r="N51" s="44" t="s">
        <v>5</v>
      </c>
      <c r="O51" s="23"/>
      <c r="P51" s="24"/>
      <c r="Q51" s="24"/>
      <c r="R51" s="24"/>
      <c r="S51" s="24"/>
      <c r="T51" s="24"/>
      <c r="U51" s="24"/>
      <c r="V51" s="24"/>
      <c r="W51" s="24"/>
      <c r="X51" s="24"/>
      <c r="Y51" s="24"/>
      <c r="Z51" s="24"/>
      <c r="AA51" s="24"/>
      <c r="AB51" s="24"/>
      <c r="AC51" s="72"/>
      <c r="AD51" s="72"/>
      <c r="AE51" s="72"/>
      <c r="AF51" s="72"/>
      <c r="AG51" s="72"/>
      <c r="AH51" s="72"/>
      <c r="AI51" s="72"/>
      <c r="AJ51" s="72"/>
      <c r="AK51" s="72"/>
      <c r="AL51" s="125"/>
      <c r="AM51" s="72"/>
      <c r="AN51" s="160"/>
      <c r="AO51" s="72"/>
      <c r="AP51" s="72"/>
      <c r="AQ51" s="72">
        <v>84.2</v>
      </c>
      <c r="AR51" s="168">
        <v>80.7</v>
      </c>
      <c r="AS51" s="6"/>
    </row>
    <row r="52" spans="1:45" ht="13.5" customHeight="1">
      <c r="A52" s="6"/>
      <c r="B52" s="21"/>
      <c r="C52" s="22" t="s">
        <v>6</v>
      </c>
      <c r="D52" s="86">
        <f t="shared" ca="1" si="0"/>
        <v>101.3</v>
      </c>
      <c r="E52" s="83"/>
      <c r="F52" s="82">
        <f t="shared" ca="1" si="2"/>
        <v>101.3</v>
      </c>
      <c r="G52" s="90"/>
      <c r="H52" s="142"/>
      <c r="I52" s="143"/>
      <c r="J52" s="144">
        <f t="shared" ca="1" si="1"/>
        <v>10</v>
      </c>
      <c r="K52" s="88"/>
      <c r="L52" s="91"/>
      <c r="M52" s="21"/>
      <c r="N52" s="44" t="s">
        <v>6</v>
      </c>
      <c r="O52" s="23"/>
      <c r="P52" s="24"/>
      <c r="Q52" s="24"/>
      <c r="R52" s="24"/>
      <c r="S52" s="24"/>
      <c r="T52" s="24"/>
      <c r="U52" s="24"/>
      <c r="V52" s="24"/>
      <c r="W52" s="24"/>
      <c r="X52" s="24"/>
      <c r="Y52" s="24"/>
      <c r="Z52" s="24"/>
      <c r="AA52" s="24"/>
      <c r="AB52" s="24"/>
      <c r="AC52" s="72"/>
      <c r="AD52" s="72"/>
      <c r="AE52" s="72"/>
      <c r="AF52" s="72"/>
      <c r="AG52" s="72"/>
      <c r="AH52" s="72"/>
      <c r="AI52" s="72"/>
      <c r="AJ52" s="72"/>
      <c r="AK52" s="72"/>
      <c r="AL52" s="125"/>
      <c r="AM52" s="72"/>
      <c r="AN52" s="160"/>
      <c r="AO52" s="72"/>
      <c r="AP52" s="72"/>
      <c r="AQ52" s="72">
        <v>10</v>
      </c>
      <c r="AR52" s="168">
        <v>101.3</v>
      </c>
      <c r="AS52" s="6"/>
    </row>
    <row r="53" spans="1:45" ht="13.5" customHeight="1">
      <c r="A53" s="6"/>
      <c r="B53" s="21"/>
      <c r="C53" s="22" t="s">
        <v>7</v>
      </c>
      <c r="D53" s="86">
        <f t="shared" ca="1" si="0"/>
        <v>81</v>
      </c>
      <c r="E53" s="83"/>
      <c r="F53" s="82">
        <f t="shared" ca="1" si="2"/>
        <v>81</v>
      </c>
      <c r="G53" s="90"/>
      <c r="H53" s="142"/>
      <c r="I53" s="143"/>
      <c r="J53" s="144">
        <f t="shared" ca="1" si="1"/>
        <v>18.3</v>
      </c>
      <c r="K53" s="88"/>
      <c r="L53" s="91"/>
      <c r="M53" s="21"/>
      <c r="N53" s="44" t="s">
        <v>7</v>
      </c>
      <c r="O53" s="23"/>
      <c r="P53" s="24"/>
      <c r="Q53" s="24"/>
      <c r="R53" s="24"/>
      <c r="S53" s="24"/>
      <c r="T53" s="24"/>
      <c r="U53" s="24"/>
      <c r="V53" s="24"/>
      <c r="W53" s="24"/>
      <c r="X53" s="24"/>
      <c r="Y53" s="24"/>
      <c r="Z53" s="24"/>
      <c r="AA53" s="24"/>
      <c r="AB53" s="24"/>
      <c r="AC53" s="72"/>
      <c r="AD53" s="72"/>
      <c r="AE53" s="72"/>
      <c r="AF53" s="72"/>
      <c r="AG53" s="72"/>
      <c r="AH53" s="72"/>
      <c r="AI53" s="72"/>
      <c r="AJ53" s="72"/>
      <c r="AK53" s="72"/>
      <c r="AL53" s="125"/>
      <c r="AM53" s="72"/>
      <c r="AN53" s="160"/>
      <c r="AO53" s="72"/>
      <c r="AP53" s="72"/>
      <c r="AQ53" s="72">
        <v>18.3</v>
      </c>
      <c r="AR53" s="168">
        <v>81</v>
      </c>
      <c r="AS53" s="6"/>
    </row>
    <row r="54" spans="1:45" ht="13.5" customHeight="1" thickBot="1">
      <c r="A54" s="6"/>
      <c r="B54" s="21"/>
      <c r="C54" s="28" t="s">
        <v>8</v>
      </c>
      <c r="D54" s="92">
        <f t="shared" ca="1" si="0"/>
        <v>87.3</v>
      </c>
      <c r="E54" s="84"/>
      <c r="F54" s="93">
        <f t="shared" ca="1" si="2"/>
        <v>87.3</v>
      </c>
      <c r="G54" s="94"/>
      <c r="H54" s="145"/>
      <c r="I54" s="146"/>
      <c r="J54" s="147">
        <f t="shared" ca="1" si="1"/>
        <v>29</v>
      </c>
      <c r="K54" s="95"/>
      <c r="L54" s="91"/>
      <c r="M54" s="21"/>
      <c r="N54" s="16" t="s">
        <v>8</v>
      </c>
      <c r="O54" s="29"/>
      <c r="P54" s="30"/>
      <c r="Q54" s="30"/>
      <c r="R54" s="30"/>
      <c r="S54" s="30"/>
      <c r="T54" s="30"/>
      <c r="U54" s="30"/>
      <c r="V54" s="30"/>
      <c r="W54" s="30"/>
      <c r="X54" s="30"/>
      <c r="Y54" s="30"/>
      <c r="Z54" s="30"/>
      <c r="AA54" s="30"/>
      <c r="AB54" s="30"/>
      <c r="AC54" s="74"/>
      <c r="AD54" s="74"/>
      <c r="AE54" s="74"/>
      <c r="AF54" s="74"/>
      <c r="AG54" s="74"/>
      <c r="AH54" s="74"/>
      <c r="AI54" s="74"/>
      <c r="AJ54" s="74"/>
      <c r="AK54" s="74"/>
      <c r="AL54" s="127"/>
      <c r="AM54" s="74"/>
      <c r="AN54" s="162"/>
      <c r="AO54" s="74"/>
      <c r="AP54" s="74"/>
      <c r="AQ54" s="74">
        <v>29</v>
      </c>
      <c r="AR54" s="170">
        <v>87.3</v>
      </c>
      <c r="AS54" s="6"/>
    </row>
    <row r="55" spans="1:45" ht="13.5" customHeight="1">
      <c r="A55" s="6"/>
      <c r="B55" s="17"/>
      <c r="C55" s="10" t="s">
        <v>2</v>
      </c>
      <c r="D55" s="86">
        <f t="shared" ca="1" si="0"/>
        <v>14.8</v>
      </c>
      <c r="E55" s="83"/>
      <c r="F55" s="82">
        <f t="shared" ca="1" si="2"/>
        <v>14.8</v>
      </c>
      <c r="G55" s="90"/>
      <c r="H55" s="139"/>
      <c r="I55" s="140"/>
      <c r="J55" s="141">
        <f t="shared" ca="1" si="1"/>
        <v>20.8</v>
      </c>
      <c r="K55" s="88"/>
      <c r="L55" s="91"/>
      <c r="M55" s="17"/>
      <c r="N55" s="12" t="s">
        <v>2</v>
      </c>
      <c r="O55" s="31"/>
      <c r="P55" s="32"/>
      <c r="Q55" s="32"/>
      <c r="R55" s="32"/>
      <c r="S55" s="32"/>
      <c r="T55" s="32"/>
      <c r="U55" s="32"/>
      <c r="V55" s="32"/>
      <c r="W55" s="32"/>
      <c r="X55" s="32"/>
      <c r="Y55" s="32"/>
      <c r="Z55" s="32"/>
      <c r="AA55" s="32"/>
      <c r="AB55" s="32"/>
      <c r="AC55" s="75"/>
      <c r="AD55" s="75"/>
      <c r="AE55" s="75"/>
      <c r="AF55" s="75"/>
      <c r="AG55" s="75"/>
      <c r="AH55" s="75"/>
      <c r="AI55" s="75"/>
      <c r="AJ55" s="75"/>
      <c r="AK55" s="75"/>
      <c r="AL55" s="128"/>
      <c r="AM55" s="75"/>
      <c r="AN55" s="163"/>
      <c r="AO55" s="75"/>
      <c r="AP55" s="75"/>
      <c r="AQ55" s="75">
        <v>20.8</v>
      </c>
      <c r="AR55" s="171">
        <v>14.8</v>
      </c>
      <c r="AS55" s="6"/>
    </row>
    <row r="56" spans="1:45" ht="13.5" customHeight="1">
      <c r="A56" s="6"/>
      <c r="B56" s="21"/>
      <c r="C56" s="22" t="s">
        <v>3</v>
      </c>
      <c r="D56" s="86">
        <f t="shared" ca="1" si="0"/>
        <v>23</v>
      </c>
      <c r="E56" s="83"/>
      <c r="F56" s="82">
        <f t="shared" ca="1" si="2"/>
        <v>23</v>
      </c>
      <c r="G56" s="90"/>
      <c r="H56" s="142"/>
      <c r="I56" s="143"/>
      <c r="J56" s="144">
        <f t="shared" ca="1" si="1"/>
        <v>45</v>
      </c>
      <c r="K56" s="88"/>
      <c r="L56" s="91"/>
      <c r="M56" s="21"/>
      <c r="N56" s="44" t="s">
        <v>3</v>
      </c>
      <c r="O56" s="23"/>
      <c r="P56" s="24"/>
      <c r="Q56" s="24"/>
      <c r="R56" s="24"/>
      <c r="S56" s="24"/>
      <c r="T56" s="24"/>
      <c r="U56" s="24"/>
      <c r="V56" s="24"/>
      <c r="W56" s="24"/>
      <c r="X56" s="24"/>
      <c r="Y56" s="24"/>
      <c r="Z56" s="24"/>
      <c r="AA56" s="24"/>
      <c r="AB56" s="24"/>
      <c r="AC56" s="72"/>
      <c r="AD56" s="72"/>
      <c r="AE56" s="72"/>
      <c r="AF56" s="72"/>
      <c r="AG56" s="72"/>
      <c r="AH56" s="72"/>
      <c r="AI56" s="72"/>
      <c r="AJ56" s="72"/>
      <c r="AK56" s="72"/>
      <c r="AL56" s="125"/>
      <c r="AM56" s="72"/>
      <c r="AN56" s="160"/>
      <c r="AO56" s="72"/>
      <c r="AP56" s="72"/>
      <c r="AQ56" s="72">
        <v>45</v>
      </c>
      <c r="AR56" s="168">
        <v>23</v>
      </c>
      <c r="AS56" s="6"/>
    </row>
    <row r="57" spans="1:45" ht="13.5" customHeight="1">
      <c r="A57" s="6"/>
      <c r="B57" s="21" t="s">
        <v>149</v>
      </c>
      <c r="C57" s="22" t="s">
        <v>5</v>
      </c>
      <c r="D57" s="86">
        <f t="shared" ca="1" si="0"/>
        <v>9.3000000000000007</v>
      </c>
      <c r="E57" s="83"/>
      <c r="F57" s="82">
        <f t="shared" ca="1" si="2"/>
        <v>9.3000000000000007</v>
      </c>
      <c r="G57" s="90"/>
      <c r="H57" s="142"/>
      <c r="I57" s="143"/>
      <c r="J57" s="144">
        <f t="shared" ca="1" si="1"/>
        <v>5.8</v>
      </c>
      <c r="K57" s="88"/>
      <c r="L57" s="91"/>
      <c r="M57" s="21" t="s">
        <v>149</v>
      </c>
      <c r="N57" s="44" t="s">
        <v>5</v>
      </c>
      <c r="O57" s="23"/>
      <c r="P57" s="24"/>
      <c r="Q57" s="24"/>
      <c r="R57" s="24"/>
      <c r="S57" s="24"/>
      <c r="T57" s="24"/>
      <c r="U57" s="24"/>
      <c r="V57" s="24"/>
      <c r="W57" s="24"/>
      <c r="X57" s="24"/>
      <c r="Y57" s="24"/>
      <c r="Z57" s="24"/>
      <c r="AA57" s="24"/>
      <c r="AB57" s="24"/>
      <c r="AC57" s="72"/>
      <c r="AD57" s="72"/>
      <c r="AE57" s="72"/>
      <c r="AF57" s="72"/>
      <c r="AG57" s="72"/>
      <c r="AH57" s="72"/>
      <c r="AI57" s="72"/>
      <c r="AJ57" s="72"/>
      <c r="AK57" s="72"/>
      <c r="AL57" s="125"/>
      <c r="AM57" s="72"/>
      <c r="AN57" s="160"/>
      <c r="AO57" s="72"/>
      <c r="AP57" s="72"/>
      <c r="AQ57" s="72">
        <v>5.8</v>
      </c>
      <c r="AR57" s="168">
        <v>9.3000000000000007</v>
      </c>
      <c r="AS57" s="6"/>
    </row>
    <row r="58" spans="1:45" ht="13.5" customHeight="1">
      <c r="A58" s="6"/>
      <c r="B58" s="21"/>
      <c r="C58" s="22" t="s">
        <v>6</v>
      </c>
      <c r="D58" s="86">
        <f t="shared" ca="1" si="0"/>
        <v>32.5</v>
      </c>
      <c r="E58" s="83"/>
      <c r="F58" s="82">
        <f t="shared" ca="1" si="2"/>
        <v>32.5</v>
      </c>
      <c r="G58" s="90"/>
      <c r="H58" s="142"/>
      <c r="I58" s="143"/>
      <c r="J58" s="144">
        <f t="shared" ca="1" si="1"/>
        <v>17.2</v>
      </c>
      <c r="K58" s="88"/>
      <c r="L58" s="91"/>
      <c r="M58" s="21"/>
      <c r="N58" s="44" t="s">
        <v>6</v>
      </c>
      <c r="O58" s="23"/>
      <c r="P58" s="24"/>
      <c r="Q58" s="24"/>
      <c r="R58" s="24"/>
      <c r="S58" s="24"/>
      <c r="T58" s="24"/>
      <c r="U58" s="24"/>
      <c r="V58" s="24"/>
      <c r="W58" s="24"/>
      <c r="X58" s="24"/>
      <c r="Y58" s="24"/>
      <c r="Z58" s="24"/>
      <c r="AA58" s="24"/>
      <c r="AB58" s="24"/>
      <c r="AC58" s="72"/>
      <c r="AD58" s="72"/>
      <c r="AE58" s="72"/>
      <c r="AF58" s="72"/>
      <c r="AG58" s="72"/>
      <c r="AH58" s="72"/>
      <c r="AI58" s="72"/>
      <c r="AJ58" s="72"/>
      <c r="AK58" s="72"/>
      <c r="AL58" s="125"/>
      <c r="AM58" s="72"/>
      <c r="AN58" s="160"/>
      <c r="AO58" s="72"/>
      <c r="AP58" s="72"/>
      <c r="AQ58" s="72">
        <v>17.2</v>
      </c>
      <c r="AR58" s="168">
        <v>32.5</v>
      </c>
      <c r="AS58" s="6"/>
    </row>
    <row r="59" spans="1:45" ht="13.5" customHeight="1">
      <c r="A59" s="6"/>
      <c r="B59" s="21"/>
      <c r="C59" s="22" t="s">
        <v>7</v>
      </c>
      <c r="D59" s="86">
        <f t="shared" ca="1" si="0"/>
        <v>9.6</v>
      </c>
      <c r="E59" s="83"/>
      <c r="F59" s="82">
        <f t="shared" ca="1" si="2"/>
        <v>9.6</v>
      </c>
      <c r="G59" s="90"/>
      <c r="H59" s="142"/>
      <c r="I59" s="143"/>
      <c r="J59" s="144">
        <f t="shared" ca="1" si="1"/>
        <v>24</v>
      </c>
      <c r="K59" s="88"/>
      <c r="L59" s="91"/>
      <c r="M59" s="21"/>
      <c r="N59" s="44" t="s">
        <v>7</v>
      </c>
      <c r="O59" s="23"/>
      <c r="P59" s="24"/>
      <c r="Q59" s="24"/>
      <c r="R59" s="24"/>
      <c r="S59" s="24"/>
      <c r="T59" s="24"/>
      <c r="U59" s="24"/>
      <c r="V59" s="24"/>
      <c r="W59" s="24"/>
      <c r="X59" s="24"/>
      <c r="Y59" s="24"/>
      <c r="Z59" s="24"/>
      <c r="AA59" s="24"/>
      <c r="AB59" s="24"/>
      <c r="AC59" s="72"/>
      <c r="AD59" s="72"/>
      <c r="AE59" s="72"/>
      <c r="AF59" s="72"/>
      <c r="AG59" s="72"/>
      <c r="AH59" s="72"/>
      <c r="AI59" s="72"/>
      <c r="AJ59" s="72"/>
      <c r="AK59" s="72"/>
      <c r="AL59" s="125"/>
      <c r="AM59" s="72"/>
      <c r="AN59" s="160"/>
      <c r="AO59" s="72"/>
      <c r="AP59" s="72"/>
      <c r="AQ59" s="72">
        <v>24</v>
      </c>
      <c r="AR59" s="168">
        <v>9.6</v>
      </c>
      <c r="AS59" s="6"/>
    </row>
    <row r="60" spans="1:45" ht="13.5" customHeight="1" thickBot="1">
      <c r="A60" s="6"/>
      <c r="B60" s="27"/>
      <c r="C60" s="28" t="s">
        <v>8</v>
      </c>
      <c r="D60" s="92">
        <f t="shared" ca="1" si="0"/>
        <v>2.4</v>
      </c>
      <c r="E60" s="84"/>
      <c r="F60" s="93">
        <f t="shared" ca="1" si="2"/>
        <v>2.4</v>
      </c>
      <c r="G60" s="94"/>
      <c r="H60" s="145"/>
      <c r="I60" s="146"/>
      <c r="J60" s="147">
        <f t="shared" ca="1" si="1"/>
        <v>2</v>
      </c>
      <c r="K60" s="95"/>
      <c r="L60" s="91"/>
      <c r="M60" s="27"/>
      <c r="N60" s="16" t="s">
        <v>8</v>
      </c>
      <c r="O60" s="29"/>
      <c r="P60" s="30"/>
      <c r="Q60" s="30"/>
      <c r="R60" s="30"/>
      <c r="S60" s="30"/>
      <c r="T60" s="30"/>
      <c r="U60" s="30"/>
      <c r="V60" s="30"/>
      <c r="W60" s="30"/>
      <c r="X60" s="30"/>
      <c r="Y60" s="30"/>
      <c r="Z60" s="30"/>
      <c r="AA60" s="30"/>
      <c r="AB60" s="30"/>
      <c r="AC60" s="74"/>
      <c r="AD60" s="74"/>
      <c r="AE60" s="74"/>
      <c r="AF60" s="74"/>
      <c r="AG60" s="74"/>
      <c r="AH60" s="74"/>
      <c r="AI60" s="74"/>
      <c r="AJ60" s="74"/>
      <c r="AK60" s="74"/>
      <c r="AL60" s="127"/>
      <c r="AM60" s="74"/>
      <c r="AN60" s="162"/>
      <c r="AO60" s="74"/>
      <c r="AP60" s="74"/>
      <c r="AQ60" s="74">
        <v>2</v>
      </c>
      <c r="AR60" s="170">
        <v>2.4</v>
      </c>
      <c r="AS60" s="6"/>
    </row>
    <row r="62" spans="1:45" ht="6" customHeight="1">
      <c r="A62" s="78"/>
      <c r="B62" s="6"/>
      <c r="C62" s="6"/>
      <c r="D62" s="6"/>
      <c r="E62" s="6"/>
      <c r="F62" s="6"/>
      <c r="G62" s="6"/>
      <c r="H62" s="6"/>
      <c r="I62" s="6"/>
      <c r="J62" s="6"/>
      <c r="K62" s="6"/>
      <c r="L62" s="6"/>
      <c r="M62" s="6"/>
      <c r="N62" s="6"/>
      <c r="O62" s="6"/>
      <c r="P62" s="6"/>
      <c r="Q62" s="6"/>
      <c r="R62" s="6"/>
      <c r="S62" s="6"/>
      <c r="T62" s="6"/>
      <c r="U62" s="6"/>
      <c r="V62" s="6"/>
      <c r="W62" s="6"/>
      <c r="X62" s="6"/>
      <c r="Y62" s="6"/>
      <c r="Z62" s="6"/>
      <c r="AA62" s="6"/>
      <c r="AB62" s="6"/>
      <c r="AC62" s="6"/>
      <c r="AD62" s="6"/>
      <c r="AE62" s="6"/>
      <c r="AF62" s="6"/>
      <c r="AG62" s="6"/>
      <c r="AH62" s="6"/>
      <c r="AI62" s="6"/>
      <c r="AJ62" s="6"/>
      <c r="AK62" s="6"/>
      <c r="AL62" s="6"/>
      <c r="AM62" s="6"/>
      <c r="AN62" s="6"/>
      <c r="AO62" s="6"/>
      <c r="AP62" s="6"/>
      <c r="AQ62" s="6"/>
      <c r="AR62" s="6"/>
      <c r="AS62" s="6"/>
    </row>
    <row r="63" spans="1:45" ht="24" customHeight="1">
      <c r="A63" s="6"/>
      <c r="B63" s="2000" t="s">
        <v>134</v>
      </c>
      <c r="C63" s="2000"/>
      <c r="D63" s="2000"/>
      <c r="E63" s="2000"/>
      <c r="F63" s="2000"/>
      <c r="G63" s="2000"/>
      <c r="H63" s="2000"/>
      <c r="I63" s="2000"/>
      <c r="J63" s="2000"/>
      <c r="K63" s="189"/>
      <c r="L63" s="2017">
        <f ca="1">YEAR(TODAY())</f>
        <v>2026</v>
      </c>
      <c r="M63" s="2017"/>
      <c r="N63" s="102"/>
      <c r="P63" s="49"/>
      <c r="T63" s="6"/>
      <c r="U63" s="6"/>
      <c r="V63" s="6"/>
      <c r="W63" s="6"/>
      <c r="X63" s="6"/>
      <c r="Y63" s="6"/>
      <c r="Z63" s="6"/>
      <c r="AA63" s="6"/>
      <c r="AB63" s="6"/>
      <c r="AC63" s="6"/>
      <c r="AD63" s="6"/>
      <c r="AE63" s="6"/>
      <c r="AF63" s="6"/>
      <c r="AG63" s="6"/>
      <c r="AH63" s="6"/>
      <c r="AI63" s="6"/>
      <c r="AJ63" s="6"/>
      <c r="AK63" s="6"/>
      <c r="AL63" s="6"/>
      <c r="AM63" s="2018"/>
      <c r="AN63" s="191"/>
      <c r="AO63" s="191"/>
      <c r="AP63" s="191"/>
      <c r="AQ63" s="191"/>
      <c r="AR63" s="191"/>
      <c r="AS63" s="6"/>
    </row>
    <row r="64" spans="1:45" ht="6.75" customHeight="1" thickBot="1">
      <c r="A64" s="6"/>
      <c r="B64" s="7"/>
      <c r="C64" s="6"/>
      <c r="D64" s="6"/>
      <c r="E64" s="8"/>
      <c r="F64" s="47"/>
      <c r="G64" s="47"/>
      <c r="H64" s="47"/>
      <c r="I64" s="6"/>
      <c r="J64" s="6"/>
      <c r="K64" s="47"/>
      <c r="L64" s="6"/>
      <c r="M64" s="6"/>
      <c r="N64" s="6"/>
      <c r="O64" s="6"/>
      <c r="P64" s="6"/>
      <c r="Q64" s="6"/>
      <c r="R64" s="6"/>
      <c r="S64" s="6"/>
      <c r="T64" s="6"/>
      <c r="U64" s="6"/>
      <c r="V64" s="6"/>
      <c r="W64" s="6"/>
      <c r="X64" s="6"/>
      <c r="Y64" s="6"/>
      <c r="Z64" s="6"/>
      <c r="AA64" s="6"/>
      <c r="AB64" s="6"/>
      <c r="AC64" s="6"/>
      <c r="AD64" s="6"/>
      <c r="AE64" s="6"/>
      <c r="AF64" s="6"/>
      <c r="AG64" s="6"/>
      <c r="AH64" s="6"/>
      <c r="AI64" s="6"/>
      <c r="AJ64" s="6"/>
      <c r="AK64" s="6"/>
      <c r="AL64" s="6"/>
      <c r="AM64" s="2019"/>
      <c r="AN64" s="192"/>
      <c r="AO64" s="192"/>
      <c r="AP64" s="192"/>
      <c r="AQ64" s="192"/>
      <c r="AR64" s="192"/>
      <c r="AS64" s="6"/>
    </row>
    <row r="65" spans="1:45" ht="21" customHeight="1" thickBot="1">
      <c r="A65" s="6"/>
      <c r="B65" s="9"/>
      <c r="C65" s="50"/>
      <c r="D65" s="55" t="s">
        <v>42</v>
      </c>
      <c r="E65" s="48"/>
      <c r="F65" s="56" t="s">
        <v>44</v>
      </c>
      <c r="G65" s="63"/>
      <c r="H65" s="1995" t="s">
        <v>43</v>
      </c>
      <c r="I65" s="1995"/>
      <c r="J65" s="1996"/>
      <c r="K65" s="57"/>
      <c r="L65" s="5"/>
      <c r="M65" s="5"/>
      <c r="N65" s="5"/>
      <c r="O65" s="8"/>
      <c r="P65" s="8"/>
      <c r="Q65" s="8"/>
      <c r="R65" s="8"/>
      <c r="S65" s="8"/>
      <c r="T65" s="8"/>
      <c r="U65" s="8"/>
      <c r="V65" s="8"/>
      <c r="W65" s="8"/>
      <c r="X65" s="8"/>
      <c r="Y65" s="8"/>
      <c r="Z65" s="8"/>
      <c r="AA65" s="8"/>
      <c r="AB65" s="8"/>
      <c r="AC65" s="8"/>
      <c r="AD65" s="8"/>
      <c r="AE65" s="8"/>
      <c r="AF65" s="8"/>
      <c r="AG65" s="8"/>
      <c r="AH65" s="8"/>
      <c r="AI65" s="8"/>
      <c r="AJ65" s="8"/>
      <c r="AK65" s="8"/>
      <c r="AL65" s="8"/>
      <c r="AM65" s="2020"/>
      <c r="AN65" s="130"/>
      <c r="AO65" s="130"/>
      <c r="AP65" s="130"/>
      <c r="AQ65" s="130" t="s">
        <v>133</v>
      </c>
      <c r="AR65" s="130"/>
      <c r="AS65" s="6"/>
    </row>
    <row r="66" spans="1:45" ht="13.5" customHeight="1">
      <c r="A66" s="6"/>
      <c r="B66" s="39" t="s">
        <v>137</v>
      </c>
      <c r="C66" s="47"/>
      <c r="D66" s="68">
        <f>D5</f>
        <v>2016</v>
      </c>
      <c r="E66" s="35"/>
      <c r="F66" s="1993" t="s">
        <v>41</v>
      </c>
      <c r="G66" s="64"/>
      <c r="H66" s="69">
        <f>D66-5</f>
        <v>2011</v>
      </c>
      <c r="I66" s="40" t="s">
        <v>40</v>
      </c>
      <c r="J66" s="70">
        <f>D66-1</f>
        <v>2015</v>
      </c>
      <c r="K66" s="58">
        <f>$J$5-$H$5+1</f>
        <v>5</v>
      </c>
      <c r="L66" s="190"/>
      <c r="M66" s="37"/>
      <c r="N66" s="42"/>
      <c r="O66" s="112">
        <v>1987</v>
      </c>
      <c r="P66" s="110">
        <v>1988</v>
      </c>
      <c r="Q66" s="110">
        <v>1989</v>
      </c>
      <c r="R66" s="110">
        <v>1990</v>
      </c>
      <c r="S66" s="110">
        <v>1991</v>
      </c>
      <c r="T66" s="110">
        <v>1992</v>
      </c>
      <c r="U66" s="110">
        <v>1993</v>
      </c>
      <c r="V66" s="110">
        <v>1994</v>
      </c>
      <c r="W66" s="110">
        <v>1995</v>
      </c>
      <c r="X66" s="110">
        <v>1996</v>
      </c>
      <c r="Y66" s="110">
        <v>1997</v>
      </c>
      <c r="Z66" s="110">
        <v>1998</v>
      </c>
      <c r="AA66" s="110">
        <v>1999</v>
      </c>
      <c r="AB66" s="110">
        <v>2000</v>
      </c>
      <c r="AC66" s="110">
        <v>2001</v>
      </c>
      <c r="AD66" s="110">
        <v>2002</v>
      </c>
      <c r="AE66" s="110">
        <v>2003</v>
      </c>
      <c r="AF66" s="110">
        <v>2004</v>
      </c>
      <c r="AG66" s="110">
        <v>2005</v>
      </c>
      <c r="AH66" s="110">
        <v>2006</v>
      </c>
      <c r="AI66" s="110">
        <v>2007</v>
      </c>
      <c r="AJ66" s="110">
        <v>2008</v>
      </c>
      <c r="AK66" s="110">
        <v>2009</v>
      </c>
      <c r="AL66" s="123">
        <v>2010</v>
      </c>
      <c r="AM66" s="110">
        <v>2011</v>
      </c>
      <c r="AN66" s="154">
        <v>2012</v>
      </c>
      <c r="AO66" s="110">
        <v>2013</v>
      </c>
      <c r="AP66" s="110">
        <v>2014</v>
      </c>
      <c r="AQ66" s="110">
        <v>2015</v>
      </c>
      <c r="AR66" s="111">
        <v>2016</v>
      </c>
      <c r="AS66" s="6"/>
    </row>
    <row r="67" spans="1:45" ht="13.5" customHeight="1" thickBot="1">
      <c r="A67" s="6"/>
      <c r="B67" s="13"/>
      <c r="C67" s="8"/>
      <c r="D67" s="77" t="str">
        <f t="shared" ref="D67:D121" ca="1" si="3">IF(ISBLANK($D$5),-20,OFFSET($O67,0,$D$5-1987,1,1))</f>
        <v>H28年</v>
      </c>
      <c r="E67" s="51"/>
      <c r="F67" s="1994"/>
      <c r="G67" s="65"/>
      <c r="H67" s="1997">
        <f>IF(OR(ISBLANK($H$5),ISBLANK($J$5)),"　ヶ年平均",$J$5-$H$5+1)</f>
        <v>5</v>
      </c>
      <c r="I67" s="2015"/>
      <c r="J67" s="2016"/>
      <c r="K67" s="59"/>
      <c r="L67" s="85"/>
      <c r="M67" s="38"/>
      <c r="N67" s="43"/>
      <c r="O67" s="14" t="s">
        <v>15</v>
      </c>
      <c r="P67" s="15" t="s">
        <v>16</v>
      </c>
      <c r="Q67" s="15" t="s">
        <v>17</v>
      </c>
      <c r="R67" s="15" t="s">
        <v>18</v>
      </c>
      <c r="S67" s="15" t="s">
        <v>19</v>
      </c>
      <c r="T67" s="15" t="s">
        <v>20</v>
      </c>
      <c r="U67" s="15" t="s">
        <v>21</v>
      </c>
      <c r="V67" s="15" t="s">
        <v>22</v>
      </c>
      <c r="W67" s="15" t="s">
        <v>23</v>
      </c>
      <c r="X67" s="15" t="s">
        <v>24</v>
      </c>
      <c r="Y67" s="15" t="s">
        <v>25</v>
      </c>
      <c r="Z67" s="15" t="s">
        <v>26</v>
      </c>
      <c r="AA67" s="15" t="s">
        <v>27</v>
      </c>
      <c r="AB67" s="15" t="s">
        <v>28</v>
      </c>
      <c r="AC67" s="15" t="s">
        <v>29</v>
      </c>
      <c r="AD67" s="15" t="s">
        <v>30</v>
      </c>
      <c r="AE67" s="15" t="s">
        <v>31</v>
      </c>
      <c r="AF67" s="15" t="s">
        <v>32</v>
      </c>
      <c r="AG67" s="15" t="s">
        <v>33</v>
      </c>
      <c r="AH67" s="15" t="s">
        <v>34</v>
      </c>
      <c r="AI67" s="15" t="s">
        <v>35</v>
      </c>
      <c r="AJ67" s="15" t="s">
        <v>36</v>
      </c>
      <c r="AK67" s="15" t="s">
        <v>37</v>
      </c>
      <c r="AL67" s="28" t="s">
        <v>38</v>
      </c>
      <c r="AM67" s="15" t="s">
        <v>115</v>
      </c>
      <c r="AN67" s="155" t="s">
        <v>119</v>
      </c>
      <c r="AO67" s="15" t="s">
        <v>123</v>
      </c>
      <c r="AP67" s="15" t="s">
        <v>125</v>
      </c>
      <c r="AQ67" s="15" t="s">
        <v>129</v>
      </c>
      <c r="AR67" s="16" t="s">
        <v>130</v>
      </c>
      <c r="AS67" s="6"/>
    </row>
    <row r="68" spans="1:45" ht="13.5" customHeight="1">
      <c r="A68" s="6"/>
      <c r="B68" s="21"/>
      <c r="C68" s="20" t="s">
        <v>2</v>
      </c>
      <c r="D68" s="181">
        <f t="shared" ca="1" si="3"/>
        <v>0</v>
      </c>
      <c r="E68" s="179"/>
      <c r="F68" s="79"/>
      <c r="G68" s="87"/>
      <c r="H68" s="139"/>
      <c r="I68" s="140"/>
      <c r="J68" s="141" t="e">
        <f t="shared" ref="J68:J121" ca="1" si="4">IF(OR(ISBLANK($H$5),ISBLANK($J$5)),-20,AVERAGE(OFFSET($O68,0,$H$5-1987,1,$J$5-$H$5+1)))</f>
        <v>#DIV/0!</v>
      </c>
      <c r="K68" s="113"/>
      <c r="L68" s="85"/>
      <c r="M68" s="21"/>
      <c r="N68" s="20" t="s">
        <v>2</v>
      </c>
      <c r="O68" s="117"/>
      <c r="P68" s="114"/>
      <c r="Q68" s="114"/>
      <c r="R68" s="114"/>
      <c r="S68" s="114"/>
      <c r="T68" s="114"/>
      <c r="U68" s="114"/>
      <c r="V68" s="114"/>
      <c r="W68" s="114"/>
      <c r="X68" s="114"/>
      <c r="Y68" s="114"/>
      <c r="Z68" s="114"/>
      <c r="AA68" s="114"/>
      <c r="AB68" s="114"/>
      <c r="AC68" s="114"/>
      <c r="AD68" s="114"/>
      <c r="AE68" s="114"/>
      <c r="AF68" s="114"/>
      <c r="AG68" s="114"/>
      <c r="AH68" s="114"/>
      <c r="AI68" s="114"/>
      <c r="AJ68" s="114"/>
      <c r="AK68" s="114"/>
      <c r="AL68" s="131"/>
      <c r="AM68" s="114"/>
      <c r="AN68" s="156"/>
      <c r="AO68" s="114"/>
      <c r="AP68" s="131"/>
      <c r="AQ68" s="117"/>
      <c r="AR68" s="164"/>
      <c r="AS68" s="6"/>
    </row>
    <row r="69" spans="1:45" ht="13.5" customHeight="1">
      <c r="A69" s="6"/>
      <c r="B69" s="21"/>
      <c r="C69" s="22" t="s">
        <v>3</v>
      </c>
      <c r="D69" s="182">
        <f t="shared" ca="1" si="3"/>
        <v>0</v>
      </c>
      <c r="E69" s="179"/>
      <c r="F69" s="82"/>
      <c r="G69" s="90"/>
      <c r="H69" s="142"/>
      <c r="I69" s="143"/>
      <c r="J69" s="144" t="e">
        <f t="shared" ca="1" si="4"/>
        <v>#DIV/0!</v>
      </c>
      <c r="K69" s="113"/>
      <c r="L69" s="85"/>
      <c r="M69" s="21"/>
      <c r="N69" s="22" t="s">
        <v>3</v>
      </c>
      <c r="O69" s="118"/>
      <c r="P69" s="115"/>
      <c r="Q69" s="115"/>
      <c r="R69" s="115"/>
      <c r="S69" s="115"/>
      <c r="T69" s="115"/>
      <c r="U69" s="115"/>
      <c r="V69" s="115"/>
      <c r="W69" s="115"/>
      <c r="X69" s="115"/>
      <c r="Y69" s="115"/>
      <c r="Z69" s="115"/>
      <c r="AA69" s="115"/>
      <c r="AB69" s="115"/>
      <c r="AC69" s="115"/>
      <c r="AD69" s="115"/>
      <c r="AE69" s="115"/>
      <c r="AF69" s="115"/>
      <c r="AG69" s="115"/>
      <c r="AH69" s="115"/>
      <c r="AI69" s="115"/>
      <c r="AJ69" s="115"/>
      <c r="AK69" s="115"/>
      <c r="AL69" s="132"/>
      <c r="AM69" s="115"/>
      <c r="AN69" s="157"/>
      <c r="AO69" s="115"/>
      <c r="AP69" s="132"/>
      <c r="AQ69" s="118"/>
      <c r="AR69" s="165"/>
      <c r="AS69" s="6"/>
    </row>
    <row r="70" spans="1:45" ht="13.5" customHeight="1">
      <c r="A70" s="6"/>
      <c r="B70" s="21" t="s">
        <v>114</v>
      </c>
      <c r="C70" s="22" t="s">
        <v>5</v>
      </c>
      <c r="D70" s="182">
        <f t="shared" ca="1" si="3"/>
        <v>0</v>
      </c>
      <c r="E70" s="179"/>
      <c r="F70" s="82"/>
      <c r="G70" s="90"/>
      <c r="H70" s="142"/>
      <c r="I70" s="143"/>
      <c r="J70" s="144" t="e">
        <f t="shared" ca="1" si="4"/>
        <v>#DIV/0!</v>
      </c>
      <c r="K70" s="113"/>
      <c r="L70" s="85"/>
      <c r="M70" s="21" t="s">
        <v>114</v>
      </c>
      <c r="N70" s="22" t="s">
        <v>5</v>
      </c>
      <c r="O70" s="118"/>
      <c r="P70" s="115"/>
      <c r="Q70" s="115"/>
      <c r="R70" s="115"/>
      <c r="S70" s="115"/>
      <c r="T70" s="115"/>
      <c r="U70" s="115"/>
      <c r="V70" s="115"/>
      <c r="W70" s="115"/>
      <c r="X70" s="115"/>
      <c r="Y70" s="115"/>
      <c r="Z70" s="115"/>
      <c r="AA70" s="115"/>
      <c r="AB70" s="115"/>
      <c r="AC70" s="115"/>
      <c r="AD70" s="115"/>
      <c r="AE70" s="115"/>
      <c r="AF70" s="115"/>
      <c r="AG70" s="115"/>
      <c r="AH70" s="115"/>
      <c r="AI70" s="115"/>
      <c r="AJ70" s="115"/>
      <c r="AK70" s="115"/>
      <c r="AL70" s="132"/>
      <c r="AM70" s="115"/>
      <c r="AN70" s="157"/>
      <c r="AO70" s="115"/>
      <c r="AP70" s="132"/>
      <c r="AQ70" s="118"/>
      <c r="AR70" s="165"/>
      <c r="AS70" s="6"/>
    </row>
    <row r="71" spans="1:45" ht="13.5" customHeight="1">
      <c r="A71" s="6"/>
      <c r="B71" s="21"/>
      <c r="C71" s="22" t="s">
        <v>6</v>
      </c>
      <c r="D71" s="182">
        <f t="shared" ca="1" si="3"/>
        <v>0</v>
      </c>
      <c r="E71" s="179"/>
      <c r="F71" s="82" t="e">
        <f t="shared" ref="F71:F121" ca="1" si="5">AVERAGE(OFFSET(O71,0,$L$2-1988,1,-10))</f>
        <v>#DIV/0!</v>
      </c>
      <c r="G71" s="90"/>
      <c r="H71" s="142"/>
      <c r="I71" s="143"/>
      <c r="J71" s="144">
        <f t="shared" ca="1" si="4"/>
        <v>0</v>
      </c>
      <c r="K71" s="136"/>
      <c r="L71" s="137"/>
      <c r="M71" s="21"/>
      <c r="N71" s="22" t="s">
        <v>6</v>
      </c>
      <c r="O71" s="118"/>
      <c r="P71" s="115"/>
      <c r="Q71" s="115"/>
      <c r="R71" s="115"/>
      <c r="S71" s="115"/>
      <c r="T71" s="115"/>
      <c r="U71" s="115"/>
      <c r="V71" s="115"/>
      <c r="W71" s="115"/>
      <c r="X71" s="115"/>
      <c r="Y71" s="115"/>
      <c r="Z71" s="115"/>
      <c r="AA71" s="115"/>
      <c r="AB71" s="115"/>
      <c r="AC71" s="115"/>
      <c r="AD71" s="115"/>
      <c r="AE71" s="115"/>
      <c r="AF71" s="115"/>
      <c r="AG71" s="115"/>
      <c r="AH71" s="115"/>
      <c r="AI71" s="115"/>
      <c r="AJ71" s="115"/>
      <c r="AK71" s="115"/>
      <c r="AL71" s="132"/>
      <c r="AM71" s="115"/>
      <c r="AN71" s="157"/>
      <c r="AO71" s="115"/>
      <c r="AP71" s="132"/>
      <c r="AQ71" s="118">
        <v>0</v>
      </c>
      <c r="AR71" s="165"/>
      <c r="AS71" s="6"/>
    </row>
    <row r="72" spans="1:45" ht="13.5" customHeight="1">
      <c r="A72" s="6"/>
      <c r="B72" s="21"/>
      <c r="C72" s="22" t="s">
        <v>7</v>
      </c>
      <c r="D72" s="182">
        <f t="shared" ca="1" si="3"/>
        <v>0</v>
      </c>
      <c r="E72" s="179"/>
      <c r="F72" s="82" t="e">
        <f t="shared" ca="1" si="5"/>
        <v>#DIV/0!</v>
      </c>
      <c r="G72" s="90"/>
      <c r="H72" s="142"/>
      <c r="I72" s="143"/>
      <c r="J72" s="144">
        <f t="shared" ca="1" si="4"/>
        <v>0</v>
      </c>
      <c r="K72" s="113"/>
      <c r="L72" s="85"/>
      <c r="M72" s="21"/>
      <c r="N72" s="22" t="s">
        <v>7</v>
      </c>
      <c r="O72" s="118"/>
      <c r="P72" s="115"/>
      <c r="Q72" s="115"/>
      <c r="R72" s="115"/>
      <c r="S72" s="115"/>
      <c r="T72" s="115"/>
      <c r="U72" s="115"/>
      <c r="V72" s="115"/>
      <c r="W72" s="115"/>
      <c r="X72" s="115"/>
      <c r="Y72" s="115"/>
      <c r="Z72" s="115"/>
      <c r="AA72" s="115"/>
      <c r="AB72" s="115"/>
      <c r="AC72" s="115"/>
      <c r="AD72" s="115"/>
      <c r="AE72" s="115"/>
      <c r="AF72" s="115"/>
      <c r="AG72" s="115"/>
      <c r="AH72" s="115"/>
      <c r="AI72" s="115"/>
      <c r="AJ72" s="115"/>
      <c r="AK72" s="115"/>
      <c r="AL72" s="132"/>
      <c r="AM72" s="115"/>
      <c r="AN72" s="157"/>
      <c r="AO72" s="115"/>
      <c r="AP72" s="132"/>
      <c r="AQ72" s="118">
        <v>0</v>
      </c>
      <c r="AR72" s="165"/>
      <c r="AS72" s="6"/>
    </row>
    <row r="73" spans="1:45" ht="13.5" customHeight="1" thickBot="1">
      <c r="A73" s="6"/>
      <c r="B73" s="27"/>
      <c r="C73" s="28" t="s">
        <v>8</v>
      </c>
      <c r="D73" s="183">
        <f t="shared" ca="1" si="3"/>
        <v>4</v>
      </c>
      <c r="E73" s="180"/>
      <c r="F73" s="93">
        <f t="shared" ca="1" si="5"/>
        <v>4</v>
      </c>
      <c r="G73" s="94"/>
      <c r="H73" s="145"/>
      <c r="I73" s="146"/>
      <c r="J73" s="147">
        <f t="shared" ca="1" si="4"/>
        <v>0.83</v>
      </c>
      <c r="K73" s="113"/>
      <c r="L73" s="85"/>
      <c r="M73" s="27"/>
      <c r="N73" s="28" t="s">
        <v>8</v>
      </c>
      <c r="O73" s="119"/>
      <c r="P73" s="116"/>
      <c r="Q73" s="116"/>
      <c r="R73" s="116"/>
      <c r="S73" s="116"/>
      <c r="T73" s="116"/>
      <c r="U73" s="116"/>
      <c r="V73" s="116"/>
      <c r="W73" s="116"/>
      <c r="X73" s="116"/>
      <c r="Y73" s="116"/>
      <c r="Z73" s="116"/>
      <c r="AA73" s="116"/>
      <c r="AB73" s="116"/>
      <c r="AC73" s="116"/>
      <c r="AD73" s="116"/>
      <c r="AE73" s="116"/>
      <c r="AF73" s="116"/>
      <c r="AG73" s="116"/>
      <c r="AH73" s="116"/>
      <c r="AI73" s="116"/>
      <c r="AJ73" s="116"/>
      <c r="AK73" s="116"/>
      <c r="AL73" s="133"/>
      <c r="AM73" s="116"/>
      <c r="AN73" s="158"/>
      <c r="AO73" s="116"/>
      <c r="AP73" s="133"/>
      <c r="AQ73" s="119">
        <v>0.83</v>
      </c>
      <c r="AR73" s="166">
        <v>4</v>
      </c>
      <c r="AS73" s="6"/>
    </row>
    <row r="74" spans="1:45" ht="13.5" customHeight="1">
      <c r="A74" s="6"/>
      <c r="B74" s="21"/>
      <c r="C74" s="20" t="s">
        <v>2</v>
      </c>
      <c r="D74" s="86">
        <f t="shared" ca="1" si="3"/>
        <v>24</v>
      </c>
      <c r="E74" s="83"/>
      <c r="F74" s="79">
        <f t="shared" ca="1" si="5"/>
        <v>24</v>
      </c>
      <c r="G74" s="87"/>
      <c r="H74" s="139"/>
      <c r="I74" s="140"/>
      <c r="J74" s="141">
        <f t="shared" ca="1" si="4"/>
        <v>1.6659999999999999</v>
      </c>
      <c r="K74" s="88"/>
      <c r="L74" s="89"/>
      <c r="M74" s="37"/>
      <c r="N74" s="12" t="s">
        <v>2</v>
      </c>
      <c r="O74" s="18"/>
      <c r="P74" s="19"/>
      <c r="Q74" s="19"/>
      <c r="R74" s="19"/>
      <c r="S74" s="19"/>
      <c r="T74" s="19"/>
      <c r="U74" s="19"/>
      <c r="V74" s="19"/>
      <c r="W74" s="19"/>
      <c r="X74" s="19"/>
      <c r="Y74" s="19"/>
      <c r="Z74" s="19"/>
      <c r="AA74" s="19"/>
      <c r="AB74" s="19"/>
      <c r="AC74" s="71"/>
      <c r="AD74" s="71"/>
      <c r="AE74" s="71"/>
      <c r="AF74" s="71"/>
      <c r="AG74" s="71"/>
      <c r="AH74" s="71"/>
      <c r="AI74" s="71"/>
      <c r="AJ74" s="71"/>
      <c r="AK74" s="71"/>
      <c r="AL74" s="124"/>
      <c r="AM74" s="71"/>
      <c r="AN74" s="159"/>
      <c r="AO74" s="71"/>
      <c r="AP74" s="71"/>
      <c r="AQ74" s="71">
        <v>1.6659999999999999</v>
      </c>
      <c r="AR74" s="167">
        <v>24</v>
      </c>
      <c r="AS74" s="6"/>
    </row>
    <row r="75" spans="1:45" ht="13.5" customHeight="1">
      <c r="A75" s="6"/>
      <c r="B75" s="21"/>
      <c r="C75" s="22" t="s">
        <v>3</v>
      </c>
      <c r="D75" s="86">
        <f t="shared" ca="1" si="3"/>
        <v>61.7</v>
      </c>
      <c r="E75" s="83"/>
      <c r="F75" s="82">
        <f t="shared" ca="1" si="5"/>
        <v>61.7</v>
      </c>
      <c r="G75" s="90"/>
      <c r="H75" s="142"/>
      <c r="I75" s="143"/>
      <c r="J75" s="144">
        <f t="shared" ca="1" si="4"/>
        <v>2.3330000000000002</v>
      </c>
      <c r="K75" s="88"/>
      <c r="L75" s="91"/>
      <c r="M75" s="41"/>
      <c r="N75" s="44" t="s">
        <v>3</v>
      </c>
      <c r="O75" s="23"/>
      <c r="P75" s="24"/>
      <c r="Q75" s="24"/>
      <c r="R75" s="24"/>
      <c r="S75" s="24"/>
      <c r="T75" s="24"/>
      <c r="U75" s="24"/>
      <c r="V75" s="24"/>
      <c r="W75" s="24"/>
      <c r="X75" s="24"/>
      <c r="Y75" s="24"/>
      <c r="Z75" s="24"/>
      <c r="AA75" s="24"/>
      <c r="AB75" s="24"/>
      <c r="AC75" s="72"/>
      <c r="AD75" s="72"/>
      <c r="AE75" s="72"/>
      <c r="AF75" s="72"/>
      <c r="AG75" s="72"/>
      <c r="AH75" s="72"/>
      <c r="AI75" s="72"/>
      <c r="AJ75" s="72"/>
      <c r="AK75" s="72"/>
      <c r="AL75" s="125"/>
      <c r="AM75" s="72"/>
      <c r="AN75" s="160"/>
      <c r="AO75" s="72"/>
      <c r="AP75" s="72"/>
      <c r="AQ75" s="72">
        <v>2.3330000000000002</v>
      </c>
      <c r="AR75" s="168">
        <v>61.7</v>
      </c>
      <c r="AS75" s="6"/>
    </row>
    <row r="76" spans="1:45" ht="13.5" customHeight="1">
      <c r="A76" s="6"/>
      <c r="B76" s="21" t="s">
        <v>4</v>
      </c>
      <c r="C76" s="22" t="s">
        <v>5</v>
      </c>
      <c r="D76" s="86">
        <f t="shared" ca="1" si="3"/>
        <v>104.6</v>
      </c>
      <c r="E76" s="83"/>
      <c r="F76" s="82">
        <f t="shared" ca="1" si="5"/>
        <v>104.6</v>
      </c>
      <c r="G76" s="90"/>
      <c r="H76" s="142"/>
      <c r="I76" s="143"/>
      <c r="J76" s="144">
        <f t="shared" ca="1" si="4"/>
        <v>13</v>
      </c>
      <c r="K76" s="88"/>
      <c r="L76" s="91"/>
      <c r="M76" s="41" t="s">
        <v>4</v>
      </c>
      <c r="N76" s="44" t="s">
        <v>5</v>
      </c>
      <c r="O76" s="23"/>
      <c r="P76" s="24"/>
      <c r="Q76" s="24"/>
      <c r="R76" s="24"/>
      <c r="S76" s="24"/>
      <c r="T76" s="24"/>
      <c r="U76" s="24"/>
      <c r="V76" s="24"/>
      <c r="W76" s="24"/>
      <c r="X76" s="24"/>
      <c r="Y76" s="24"/>
      <c r="Z76" s="24"/>
      <c r="AA76" s="24"/>
      <c r="AB76" s="24"/>
      <c r="AC76" s="72"/>
      <c r="AD76" s="72"/>
      <c r="AE76" s="72"/>
      <c r="AF76" s="72"/>
      <c r="AG76" s="72"/>
      <c r="AH76" s="72"/>
      <c r="AI76" s="72"/>
      <c r="AJ76" s="72"/>
      <c r="AK76" s="72"/>
      <c r="AL76" s="125"/>
      <c r="AM76" s="72"/>
      <c r="AN76" s="193"/>
      <c r="AO76" s="177"/>
      <c r="AP76" s="177"/>
      <c r="AQ76" s="177">
        <v>13</v>
      </c>
      <c r="AR76" s="173">
        <v>104.6</v>
      </c>
      <c r="AS76" s="6"/>
    </row>
    <row r="77" spans="1:45" ht="13.5" customHeight="1">
      <c r="A77" s="6"/>
      <c r="B77" s="21"/>
      <c r="C77" s="22" t="s">
        <v>6</v>
      </c>
      <c r="D77" s="86">
        <f t="shared" ca="1" si="3"/>
        <v>266.60000000000002</v>
      </c>
      <c r="E77" s="83"/>
      <c r="F77" s="82">
        <f t="shared" ca="1" si="5"/>
        <v>266.60000000000002</v>
      </c>
      <c r="G77" s="90"/>
      <c r="H77" s="142"/>
      <c r="I77" s="143"/>
      <c r="J77" s="144">
        <f t="shared" ca="1" si="4"/>
        <v>68</v>
      </c>
      <c r="K77" s="88"/>
      <c r="L77" s="91"/>
      <c r="M77" s="41"/>
      <c r="N77" s="44" t="s">
        <v>6</v>
      </c>
      <c r="O77" s="23"/>
      <c r="P77" s="24"/>
      <c r="Q77" s="24"/>
      <c r="R77" s="24"/>
      <c r="S77" s="24"/>
      <c r="T77" s="24"/>
      <c r="U77" s="24"/>
      <c r="V77" s="24"/>
      <c r="W77" s="24"/>
      <c r="X77" s="24"/>
      <c r="Y77" s="24"/>
      <c r="Z77" s="24"/>
      <c r="AA77" s="24"/>
      <c r="AB77" s="24"/>
      <c r="AC77" s="72"/>
      <c r="AD77" s="72"/>
      <c r="AE77" s="72"/>
      <c r="AF77" s="73"/>
      <c r="AG77" s="73"/>
      <c r="AH77" s="73"/>
      <c r="AI77" s="73"/>
      <c r="AJ77" s="73"/>
      <c r="AK77" s="73"/>
      <c r="AL77" s="126"/>
      <c r="AM77" s="73"/>
      <c r="AN77" s="161"/>
      <c r="AO77" s="73"/>
      <c r="AP77" s="73"/>
      <c r="AQ77" s="73">
        <v>68</v>
      </c>
      <c r="AR77" s="169">
        <v>266.60000000000002</v>
      </c>
      <c r="AS77" s="6"/>
    </row>
    <row r="78" spans="1:45" ht="13.5" customHeight="1">
      <c r="A78" s="6"/>
      <c r="B78" s="21"/>
      <c r="C78" s="22" t="s">
        <v>7</v>
      </c>
      <c r="D78" s="86">
        <f t="shared" ca="1" si="3"/>
        <v>553.20000000000005</v>
      </c>
      <c r="E78" s="83"/>
      <c r="F78" s="82">
        <f t="shared" ca="1" si="5"/>
        <v>553.20000000000005</v>
      </c>
      <c r="G78" s="90"/>
      <c r="H78" s="142"/>
      <c r="I78" s="143"/>
      <c r="J78" s="144">
        <f t="shared" ca="1" si="4"/>
        <v>290.33</v>
      </c>
      <c r="K78" s="88"/>
      <c r="L78" s="91"/>
      <c r="M78" s="41"/>
      <c r="N78" s="44" t="s">
        <v>7</v>
      </c>
      <c r="O78" s="23"/>
      <c r="P78" s="24"/>
      <c r="Q78" s="24"/>
      <c r="R78" s="24"/>
      <c r="S78" s="24"/>
      <c r="T78" s="24"/>
      <c r="U78" s="24"/>
      <c r="V78" s="24"/>
      <c r="W78" s="24"/>
      <c r="X78" s="24"/>
      <c r="Y78" s="24"/>
      <c r="Z78" s="24"/>
      <c r="AA78" s="24"/>
      <c r="AB78" s="24"/>
      <c r="AC78" s="72"/>
      <c r="AD78" s="72"/>
      <c r="AE78" s="72"/>
      <c r="AF78" s="72"/>
      <c r="AG78" s="72"/>
      <c r="AH78" s="72"/>
      <c r="AI78" s="72"/>
      <c r="AJ78" s="72"/>
      <c r="AK78" s="72"/>
      <c r="AL78" s="125"/>
      <c r="AM78" s="72"/>
      <c r="AN78" s="160"/>
      <c r="AO78" s="72"/>
      <c r="AP78" s="72"/>
      <c r="AQ78" s="72">
        <v>290.33</v>
      </c>
      <c r="AR78" s="168">
        <v>553.20000000000005</v>
      </c>
      <c r="AS78" s="6"/>
    </row>
    <row r="79" spans="1:45" ht="13.5" customHeight="1" thickBot="1">
      <c r="A79" s="6"/>
      <c r="B79" s="27"/>
      <c r="C79" s="28" t="s">
        <v>8</v>
      </c>
      <c r="D79" s="92">
        <f t="shared" ca="1" si="3"/>
        <v>122.1</v>
      </c>
      <c r="E79" s="84"/>
      <c r="F79" s="93">
        <f t="shared" ca="1" si="5"/>
        <v>122.1</v>
      </c>
      <c r="G79" s="94"/>
      <c r="H79" s="145"/>
      <c r="I79" s="146"/>
      <c r="J79" s="147">
        <f t="shared" ca="1" si="4"/>
        <v>291.67</v>
      </c>
      <c r="K79" s="95"/>
      <c r="L79" s="91"/>
      <c r="M79" s="4"/>
      <c r="N79" s="16" t="s">
        <v>8</v>
      </c>
      <c r="O79" s="29"/>
      <c r="P79" s="30"/>
      <c r="Q79" s="30"/>
      <c r="R79" s="30"/>
      <c r="S79" s="30"/>
      <c r="T79" s="30"/>
      <c r="U79" s="30"/>
      <c r="V79" s="30"/>
      <c r="W79" s="30"/>
      <c r="X79" s="30"/>
      <c r="Y79" s="30"/>
      <c r="Z79" s="30"/>
      <c r="AA79" s="30"/>
      <c r="AB79" s="30"/>
      <c r="AC79" s="74"/>
      <c r="AD79" s="74"/>
      <c r="AE79" s="74"/>
      <c r="AF79" s="74"/>
      <c r="AG79" s="74"/>
      <c r="AH79" s="74"/>
      <c r="AI79" s="74"/>
      <c r="AJ79" s="74"/>
      <c r="AK79" s="74"/>
      <c r="AL79" s="127"/>
      <c r="AM79" s="74"/>
      <c r="AN79" s="162"/>
      <c r="AO79" s="74"/>
      <c r="AP79" s="74"/>
      <c r="AQ79" s="74">
        <v>291.67</v>
      </c>
      <c r="AR79" s="170">
        <v>122.1</v>
      </c>
      <c r="AS79" s="6"/>
    </row>
    <row r="80" spans="1:45" ht="13.5" customHeight="1">
      <c r="A80" s="6"/>
      <c r="B80" s="17"/>
      <c r="C80" s="20" t="s">
        <v>2</v>
      </c>
      <c r="D80" s="86">
        <f t="shared" ca="1" si="3"/>
        <v>302.39999999999998</v>
      </c>
      <c r="E80" s="83"/>
      <c r="F80" s="82">
        <f t="shared" ca="1" si="5"/>
        <v>302.39999999999998</v>
      </c>
      <c r="G80" s="90"/>
      <c r="H80" s="139"/>
      <c r="I80" s="140"/>
      <c r="J80" s="141">
        <f t="shared" ca="1" si="4"/>
        <v>660.83</v>
      </c>
      <c r="K80" s="88"/>
      <c r="L80" s="91"/>
      <c r="M80" s="37"/>
      <c r="N80" s="45" t="s">
        <v>2</v>
      </c>
      <c r="O80" s="31"/>
      <c r="P80" s="32"/>
      <c r="Q80" s="32"/>
      <c r="R80" s="32"/>
      <c r="S80" s="32"/>
      <c r="T80" s="32"/>
      <c r="U80" s="32"/>
      <c r="V80" s="32"/>
      <c r="W80" s="32"/>
      <c r="X80" s="32"/>
      <c r="Y80" s="32"/>
      <c r="Z80" s="32"/>
      <c r="AA80" s="32"/>
      <c r="AB80" s="32"/>
      <c r="AC80" s="75"/>
      <c r="AD80" s="75"/>
      <c r="AE80" s="75"/>
      <c r="AF80" s="75"/>
      <c r="AG80" s="75"/>
      <c r="AH80" s="75"/>
      <c r="AI80" s="75"/>
      <c r="AJ80" s="75"/>
      <c r="AK80" s="75"/>
      <c r="AL80" s="128"/>
      <c r="AM80" s="75"/>
      <c r="AN80" s="163"/>
      <c r="AO80" s="75"/>
      <c r="AP80" s="75"/>
      <c r="AQ80" s="75">
        <v>660.83</v>
      </c>
      <c r="AR80" s="171">
        <v>302.39999999999998</v>
      </c>
      <c r="AS80" s="6"/>
    </row>
    <row r="81" spans="1:45" ht="13.5" customHeight="1">
      <c r="A81" s="6"/>
      <c r="B81" s="21"/>
      <c r="C81" s="22" t="s">
        <v>3</v>
      </c>
      <c r="D81" s="86">
        <f t="shared" ca="1" si="3"/>
        <v>4.9000000000000004</v>
      </c>
      <c r="E81" s="83"/>
      <c r="F81" s="82">
        <f t="shared" ca="1" si="5"/>
        <v>4.9000000000000004</v>
      </c>
      <c r="G81" s="90"/>
      <c r="H81" s="142"/>
      <c r="I81" s="143"/>
      <c r="J81" s="144">
        <f t="shared" ca="1" si="4"/>
        <v>403.37</v>
      </c>
      <c r="K81" s="88"/>
      <c r="L81" s="91"/>
      <c r="M81" s="41"/>
      <c r="N81" s="44" t="s">
        <v>3</v>
      </c>
      <c r="O81" s="23"/>
      <c r="P81" s="24"/>
      <c r="Q81" s="24"/>
      <c r="R81" s="24"/>
      <c r="S81" s="24"/>
      <c r="T81" s="24"/>
      <c r="U81" s="24"/>
      <c r="V81" s="24"/>
      <c r="W81" s="24"/>
      <c r="X81" s="24"/>
      <c r="Y81" s="24"/>
      <c r="Z81" s="24"/>
      <c r="AA81" s="24"/>
      <c r="AB81" s="24"/>
      <c r="AC81" s="72"/>
      <c r="AD81" s="72"/>
      <c r="AE81" s="72"/>
      <c r="AF81" s="72"/>
      <c r="AG81" s="72"/>
      <c r="AH81" s="72"/>
      <c r="AI81" s="72"/>
      <c r="AJ81" s="72"/>
      <c r="AK81" s="72"/>
      <c r="AL81" s="125"/>
      <c r="AM81" s="72"/>
      <c r="AN81" s="160"/>
      <c r="AO81" s="72"/>
      <c r="AP81" s="72"/>
      <c r="AQ81" s="72">
        <v>403.37</v>
      </c>
      <c r="AR81" s="168">
        <v>4.9000000000000004</v>
      </c>
      <c r="AS81" s="6"/>
    </row>
    <row r="82" spans="1:45" ht="13.5" customHeight="1">
      <c r="A82" s="6"/>
      <c r="B82" s="21" t="s">
        <v>39</v>
      </c>
      <c r="C82" s="22" t="s">
        <v>5</v>
      </c>
      <c r="D82" s="86">
        <f t="shared" ca="1" si="3"/>
        <v>12.9</v>
      </c>
      <c r="E82" s="83"/>
      <c r="F82" s="82">
        <f t="shared" ca="1" si="5"/>
        <v>12.9</v>
      </c>
      <c r="G82" s="90"/>
      <c r="H82" s="142"/>
      <c r="I82" s="143"/>
      <c r="J82" s="144">
        <f t="shared" ca="1" si="4"/>
        <v>19</v>
      </c>
      <c r="K82" s="88"/>
      <c r="L82" s="91"/>
      <c r="M82" s="41" t="s">
        <v>39</v>
      </c>
      <c r="N82" s="44" t="s">
        <v>5</v>
      </c>
      <c r="O82" s="23"/>
      <c r="P82" s="24"/>
      <c r="Q82" s="24"/>
      <c r="R82" s="24"/>
      <c r="S82" s="24"/>
      <c r="T82" s="24"/>
      <c r="U82" s="24"/>
      <c r="V82" s="24"/>
      <c r="W82" s="24"/>
      <c r="X82" s="24"/>
      <c r="Y82" s="24"/>
      <c r="Z82" s="24"/>
      <c r="AA82" s="24"/>
      <c r="AB82" s="24"/>
      <c r="AC82" s="72"/>
      <c r="AD82" s="72"/>
      <c r="AE82" s="72"/>
      <c r="AF82" s="72"/>
      <c r="AG82" s="72"/>
      <c r="AH82" s="72"/>
      <c r="AI82" s="72"/>
      <c r="AJ82" s="72"/>
      <c r="AK82" s="72"/>
      <c r="AL82" s="125"/>
      <c r="AM82" s="72"/>
      <c r="AN82" s="160"/>
      <c r="AO82" s="72"/>
      <c r="AP82" s="72"/>
      <c r="AQ82" s="72">
        <v>19</v>
      </c>
      <c r="AR82" s="168">
        <v>12.9</v>
      </c>
      <c r="AS82" s="6"/>
    </row>
    <row r="83" spans="1:45" ht="13.5" customHeight="1">
      <c r="A83" s="6"/>
      <c r="B83" s="21"/>
      <c r="C83" s="22" t="s">
        <v>6</v>
      </c>
      <c r="D83" s="86">
        <f t="shared" ca="1" si="3"/>
        <v>7.8</v>
      </c>
      <c r="E83" s="83"/>
      <c r="F83" s="82">
        <f t="shared" ca="1" si="5"/>
        <v>7.8</v>
      </c>
      <c r="G83" s="90"/>
      <c r="H83" s="142"/>
      <c r="I83" s="143"/>
      <c r="J83" s="144">
        <f t="shared" ca="1" si="4"/>
        <v>65</v>
      </c>
      <c r="K83" s="88"/>
      <c r="L83" s="91"/>
      <c r="M83" s="41"/>
      <c r="N83" s="44" t="s">
        <v>6</v>
      </c>
      <c r="O83" s="23"/>
      <c r="P83" s="24"/>
      <c r="Q83" s="24"/>
      <c r="R83" s="24"/>
      <c r="S83" s="24"/>
      <c r="T83" s="24"/>
      <c r="U83" s="24"/>
      <c r="V83" s="24"/>
      <c r="W83" s="24"/>
      <c r="X83" s="24"/>
      <c r="Y83" s="24"/>
      <c r="Z83" s="24"/>
      <c r="AA83" s="24"/>
      <c r="AB83" s="24"/>
      <c r="AC83" s="72"/>
      <c r="AD83" s="72"/>
      <c r="AE83" s="72"/>
      <c r="AF83" s="72"/>
      <c r="AG83" s="72"/>
      <c r="AH83" s="72"/>
      <c r="AI83" s="72"/>
      <c r="AJ83" s="72"/>
      <c r="AK83" s="72"/>
      <c r="AL83" s="125"/>
      <c r="AM83" s="72"/>
      <c r="AN83" s="160"/>
      <c r="AO83" s="72"/>
      <c r="AP83" s="72"/>
      <c r="AQ83" s="72">
        <v>65</v>
      </c>
      <c r="AR83" s="168">
        <v>7.8</v>
      </c>
      <c r="AS83" s="6"/>
    </row>
    <row r="84" spans="1:45" ht="13.5" customHeight="1">
      <c r="A84" s="6"/>
      <c r="B84" s="21"/>
      <c r="C84" s="22" t="s">
        <v>7</v>
      </c>
      <c r="D84" s="86">
        <f t="shared" ca="1" si="3"/>
        <v>1.6</v>
      </c>
      <c r="E84" s="83"/>
      <c r="F84" s="82">
        <f t="shared" ca="1" si="5"/>
        <v>1.6</v>
      </c>
      <c r="G84" s="90"/>
      <c r="H84" s="142"/>
      <c r="I84" s="143"/>
      <c r="J84" s="144">
        <f t="shared" ca="1" si="4"/>
        <v>8</v>
      </c>
      <c r="K84" s="88"/>
      <c r="L84" s="91"/>
      <c r="M84" s="41"/>
      <c r="N84" s="44" t="s">
        <v>7</v>
      </c>
      <c r="O84" s="23"/>
      <c r="P84" s="24"/>
      <c r="Q84" s="24"/>
      <c r="R84" s="24"/>
      <c r="S84" s="24"/>
      <c r="T84" s="24"/>
      <c r="U84" s="24"/>
      <c r="V84" s="24"/>
      <c r="W84" s="24"/>
      <c r="X84" s="24"/>
      <c r="Y84" s="24"/>
      <c r="Z84" s="24"/>
      <c r="AA84" s="24"/>
      <c r="AB84" s="24"/>
      <c r="AC84" s="72"/>
      <c r="AD84" s="72"/>
      <c r="AE84" s="72"/>
      <c r="AF84" s="72"/>
      <c r="AG84" s="72"/>
      <c r="AH84" s="72"/>
      <c r="AI84" s="72"/>
      <c r="AJ84" s="72"/>
      <c r="AK84" s="72"/>
      <c r="AL84" s="125"/>
      <c r="AM84" s="72"/>
      <c r="AN84" s="160"/>
      <c r="AO84" s="72"/>
      <c r="AP84" s="72"/>
      <c r="AQ84" s="72">
        <v>8</v>
      </c>
      <c r="AR84" s="168">
        <v>1.6</v>
      </c>
      <c r="AS84" s="6"/>
    </row>
    <row r="85" spans="1:45" ht="13.5" customHeight="1" thickBot="1">
      <c r="A85" s="6"/>
      <c r="B85" s="27"/>
      <c r="C85" s="33" t="s">
        <v>8</v>
      </c>
      <c r="D85" s="92">
        <f t="shared" ca="1" si="3"/>
        <v>6.7</v>
      </c>
      <c r="E85" s="84"/>
      <c r="F85" s="96">
        <f t="shared" ca="1" si="5"/>
        <v>6.7</v>
      </c>
      <c r="G85" s="94"/>
      <c r="H85" s="145"/>
      <c r="I85" s="146"/>
      <c r="J85" s="147">
        <f t="shared" ca="1" si="4"/>
        <v>1.4</v>
      </c>
      <c r="K85" s="95"/>
      <c r="L85" s="91"/>
      <c r="M85" s="4"/>
      <c r="N85" s="46" t="s">
        <v>8</v>
      </c>
      <c r="O85" s="34"/>
      <c r="P85" s="35"/>
      <c r="Q85" s="35"/>
      <c r="R85" s="35"/>
      <c r="S85" s="35"/>
      <c r="T85" s="35"/>
      <c r="U85" s="35"/>
      <c r="V85" s="35"/>
      <c r="W85" s="35"/>
      <c r="X85" s="35"/>
      <c r="Y85" s="35"/>
      <c r="Z85" s="35"/>
      <c r="AA85" s="35"/>
      <c r="AB85" s="35"/>
      <c r="AC85" s="76"/>
      <c r="AD85" s="76"/>
      <c r="AE85" s="76"/>
      <c r="AF85" s="76"/>
      <c r="AG85" s="76"/>
      <c r="AH85" s="76"/>
      <c r="AI85" s="76"/>
      <c r="AJ85" s="76"/>
      <c r="AK85" s="76"/>
      <c r="AL85" s="129"/>
      <c r="AM85" s="76"/>
      <c r="AN85" s="153"/>
      <c r="AO85" s="76"/>
      <c r="AP85" s="76"/>
      <c r="AQ85" s="76">
        <v>1.4</v>
      </c>
      <c r="AR85" s="172">
        <v>6.7</v>
      </c>
      <c r="AS85" s="6"/>
    </row>
    <row r="86" spans="1:45" ht="13.5" customHeight="1">
      <c r="A86" s="6"/>
      <c r="B86" s="21"/>
      <c r="C86" s="10" t="s">
        <v>2</v>
      </c>
      <c r="D86" s="86">
        <f t="shared" ca="1" si="3"/>
        <v>12.5</v>
      </c>
      <c r="E86" s="83"/>
      <c r="F86" s="80">
        <f t="shared" ca="1" si="5"/>
        <v>12.5</v>
      </c>
      <c r="G86" s="90"/>
      <c r="H86" s="139"/>
      <c r="I86" s="140"/>
      <c r="J86" s="141">
        <f t="shared" ca="1" si="4"/>
        <v>4.3</v>
      </c>
      <c r="K86" s="88"/>
      <c r="L86" s="91"/>
      <c r="M86" s="41"/>
      <c r="N86" s="12" t="s">
        <v>2</v>
      </c>
      <c r="O86" s="18"/>
      <c r="P86" s="19"/>
      <c r="Q86" s="19"/>
      <c r="R86" s="19"/>
      <c r="S86" s="19"/>
      <c r="T86" s="19"/>
      <c r="U86" s="19"/>
      <c r="V86" s="19"/>
      <c r="W86" s="19"/>
      <c r="X86" s="19"/>
      <c r="Y86" s="19"/>
      <c r="Z86" s="19"/>
      <c r="AA86" s="19"/>
      <c r="AB86" s="19"/>
      <c r="AC86" s="71"/>
      <c r="AD86" s="71"/>
      <c r="AE86" s="71"/>
      <c r="AF86" s="71"/>
      <c r="AG86" s="71"/>
      <c r="AH86" s="71"/>
      <c r="AI86" s="71"/>
      <c r="AJ86" s="71"/>
      <c r="AK86" s="71"/>
      <c r="AL86" s="124"/>
      <c r="AM86" s="71"/>
      <c r="AN86" s="159"/>
      <c r="AO86" s="71"/>
      <c r="AP86" s="71"/>
      <c r="AQ86" s="71">
        <v>4.3</v>
      </c>
      <c r="AR86" s="167">
        <v>12.5</v>
      </c>
      <c r="AS86" s="6"/>
    </row>
    <row r="87" spans="1:45" ht="13.5" customHeight="1">
      <c r="A87" s="6"/>
      <c r="B87" s="21"/>
      <c r="C87" s="22" t="s">
        <v>3</v>
      </c>
      <c r="D87" s="86">
        <f t="shared" ca="1" si="3"/>
        <v>5</v>
      </c>
      <c r="E87" s="83"/>
      <c r="F87" s="82">
        <f t="shared" ca="1" si="5"/>
        <v>5</v>
      </c>
      <c r="G87" s="90"/>
      <c r="H87" s="142"/>
      <c r="I87" s="143"/>
      <c r="J87" s="144">
        <f t="shared" ca="1" si="4"/>
        <v>22</v>
      </c>
      <c r="K87" s="88"/>
      <c r="L87" s="91"/>
      <c r="M87" s="41"/>
      <c r="N87" s="44" t="s">
        <v>3</v>
      </c>
      <c r="O87" s="23"/>
      <c r="P87" s="24"/>
      <c r="Q87" s="24"/>
      <c r="R87" s="24"/>
      <c r="S87" s="24"/>
      <c r="T87" s="24"/>
      <c r="U87" s="24"/>
      <c r="V87" s="24"/>
      <c r="W87" s="24"/>
      <c r="X87" s="24"/>
      <c r="Y87" s="24"/>
      <c r="Z87" s="24"/>
      <c r="AA87" s="24"/>
      <c r="AB87" s="24"/>
      <c r="AC87" s="72"/>
      <c r="AD87" s="72"/>
      <c r="AE87" s="72"/>
      <c r="AF87" s="72"/>
      <c r="AG87" s="72"/>
      <c r="AH87" s="72"/>
      <c r="AI87" s="72"/>
      <c r="AJ87" s="72"/>
      <c r="AK87" s="72"/>
      <c r="AL87" s="125"/>
      <c r="AM87" s="72"/>
      <c r="AN87" s="160"/>
      <c r="AO87" s="72"/>
      <c r="AP87" s="72"/>
      <c r="AQ87" s="72">
        <v>22</v>
      </c>
      <c r="AR87" s="168">
        <v>5</v>
      </c>
      <c r="AS87" s="6"/>
    </row>
    <row r="88" spans="1:45" ht="13.5" customHeight="1">
      <c r="A88" s="6"/>
      <c r="B88" s="21" t="s">
        <v>9</v>
      </c>
      <c r="C88" s="22" t="s">
        <v>5</v>
      </c>
      <c r="D88" s="86">
        <f t="shared" ca="1" si="3"/>
        <v>33</v>
      </c>
      <c r="E88" s="83"/>
      <c r="F88" s="82">
        <f t="shared" ca="1" si="5"/>
        <v>33</v>
      </c>
      <c r="G88" s="90"/>
      <c r="H88" s="142"/>
      <c r="I88" s="143"/>
      <c r="J88" s="144">
        <f t="shared" ca="1" si="4"/>
        <v>51</v>
      </c>
      <c r="K88" s="88"/>
      <c r="L88" s="91"/>
      <c r="M88" s="41" t="s">
        <v>9</v>
      </c>
      <c r="N88" s="44" t="s">
        <v>5</v>
      </c>
      <c r="O88" s="23"/>
      <c r="P88" s="24"/>
      <c r="Q88" s="24"/>
      <c r="R88" s="24"/>
      <c r="S88" s="24"/>
      <c r="T88" s="24"/>
      <c r="U88" s="24"/>
      <c r="V88" s="24"/>
      <c r="W88" s="24"/>
      <c r="X88" s="24"/>
      <c r="Y88" s="24"/>
      <c r="Z88" s="24"/>
      <c r="AA88" s="24"/>
      <c r="AB88" s="24"/>
      <c r="AC88" s="72"/>
      <c r="AD88" s="72"/>
      <c r="AE88" s="72"/>
      <c r="AF88" s="72"/>
      <c r="AG88" s="72"/>
      <c r="AH88" s="72"/>
      <c r="AI88" s="72"/>
      <c r="AJ88" s="72"/>
      <c r="AK88" s="72"/>
      <c r="AL88" s="125"/>
      <c r="AM88" s="72"/>
      <c r="AN88" s="160"/>
      <c r="AO88" s="72"/>
      <c r="AP88" s="72"/>
      <c r="AQ88" s="72">
        <v>51</v>
      </c>
      <c r="AR88" s="168">
        <v>33</v>
      </c>
      <c r="AS88" s="6"/>
    </row>
    <row r="89" spans="1:45" ht="13.5" customHeight="1">
      <c r="A89" s="6"/>
      <c r="B89" s="21"/>
      <c r="C89" s="22" t="s">
        <v>6</v>
      </c>
      <c r="D89" s="86">
        <f t="shared" ca="1" si="3"/>
        <v>97</v>
      </c>
      <c r="E89" s="83"/>
      <c r="F89" s="82">
        <f t="shared" ca="1" si="5"/>
        <v>97</v>
      </c>
      <c r="G89" s="90"/>
      <c r="H89" s="142"/>
      <c r="I89" s="143"/>
      <c r="J89" s="144">
        <f t="shared" ca="1" si="4"/>
        <v>140.69999999999999</v>
      </c>
      <c r="K89" s="88"/>
      <c r="L89" s="91"/>
      <c r="M89" s="41"/>
      <c r="N89" s="44" t="s">
        <v>6</v>
      </c>
      <c r="O89" s="23"/>
      <c r="P89" s="24"/>
      <c r="Q89" s="24"/>
      <c r="R89" s="24"/>
      <c r="S89" s="24"/>
      <c r="T89" s="24"/>
      <c r="U89" s="24"/>
      <c r="V89" s="24"/>
      <c r="W89" s="24"/>
      <c r="X89" s="24"/>
      <c r="Y89" s="24"/>
      <c r="Z89" s="24"/>
      <c r="AA89" s="24"/>
      <c r="AB89" s="24"/>
      <c r="AC89" s="72"/>
      <c r="AD89" s="72"/>
      <c r="AE89" s="72"/>
      <c r="AF89" s="72"/>
      <c r="AG89" s="72"/>
      <c r="AH89" s="72"/>
      <c r="AI89" s="72"/>
      <c r="AJ89" s="72"/>
      <c r="AK89" s="72"/>
      <c r="AL89" s="125"/>
      <c r="AM89" s="72"/>
      <c r="AN89" s="160"/>
      <c r="AO89" s="72"/>
      <c r="AP89" s="72"/>
      <c r="AQ89" s="72">
        <v>140.69999999999999</v>
      </c>
      <c r="AR89" s="168">
        <v>97</v>
      </c>
      <c r="AS89" s="6"/>
    </row>
    <row r="90" spans="1:45" ht="13.5" customHeight="1">
      <c r="A90" s="6"/>
      <c r="B90" s="21"/>
      <c r="C90" s="22" t="s">
        <v>7</v>
      </c>
      <c r="D90" s="86">
        <f t="shared" ca="1" si="3"/>
        <v>60</v>
      </c>
      <c r="E90" s="83"/>
      <c r="F90" s="82">
        <f t="shared" ca="1" si="5"/>
        <v>60</v>
      </c>
      <c r="G90" s="90"/>
      <c r="H90" s="142"/>
      <c r="I90" s="143"/>
      <c r="J90" s="144">
        <f t="shared" ca="1" si="4"/>
        <v>218.3</v>
      </c>
      <c r="K90" s="88"/>
      <c r="L90" s="91"/>
      <c r="M90" s="41"/>
      <c r="N90" s="44" t="s">
        <v>7</v>
      </c>
      <c r="O90" s="23"/>
      <c r="P90" s="24"/>
      <c r="Q90" s="24"/>
      <c r="R90" s="24"/>
      <c r="S90" s="24"/>
      <c r="T90" s="24"/>
      <c r="U90" s="24"/>
      <c r="V90" s="24"/>
      <c r="W90" s="24"/>
      <c r="X90" s="24"/>
      <c r="Y90" s="24"/>
      <c r="Z90" s="24"/>
      <c r="AA90" s="24"/>
      <c r="AB90" s="24"/>
      <c r="AC90" s="72"/>
      <c r="AD90" s="72"/>
      <c r="AE90" s="72"/>
      <c r="AF90" s="72"/>
      <c r="AG90" s="72"/>
      <c r="AH90" s="72"/>
      <c r="AI90" s="72"/>
      <c r="AJ90" s="72"/>
      <c r="AK90" s="72"/>
      <c r="AL90" s="125"/>
      <c r="AM90" s="72"/>
      <c r="AN90" s="160"/>
      <c r="AO90" s="72"/>
      <c r="AP90" s="72"/>
      <c r="AQ90" s="72">
        <v>218.3</v>
      </c>
      <c r="AR90" s="168">
        <v>60</v>
      </c>
      <c r="AS90" s="6"/>
    </row>
    <row r="91" spans="1:45" ht="13.5" customHeight="1" thickBot="1">
      <c r="A91" s="6"/>
      <c r="B91" s="21"/>
      <c r="C91" s="28" t="s">
        <v>8</v>
      </c>
      <c r="D91" s="92">
        <f t="shared" ca="1" si="3"/>
        <v>42.5</v>
      </c>
      <c r="E91" s="84"/>
      <c r="F91" s="93">
        <f t="shared" ca="1" si="5"/>
        <v>42.5</v>
      </c>
      <c r="G91" s="94"/>
      <c r="H91" s="145"/>
      <c r="I91" s="146"/>
      <c r="J91" s="147">
        <f t="shared" ca="1" si="4"/>
        <v>92</v>
      </c>
      <c r="K91" s="95"/>
      <c r="L91" s="91"/>
      <c r="M91" s="41"/>
      <c r="N91" s="16" t="s">
        <v>8</v>
      </c>
      <c r="O91" s="29"/>
      <c r="P91" s="30"/>
      <c r="Q91" s="30"/>
      <c r="R91" s="30"/>
      <c r="S91" s="30"/>
      <c r="T91" s="30"/>
      <c r="U91" s="30"/>
      <c r="V91" s="30"/>
      <c r="W91" s="30"/>
      <c r="X91" s="30"/>
      <c r="Y91" s="30"/>
      <c r="Z91" s="30"/>
      <c r="AA91" s="30"/>
      <c r="AB91" s="30"/>
      <c r="AC91" s="74"/>
      <c r="AD91" s="74"/>
      <c r="AE91" s="74"/>
      <c r="AF91" s="74"/>
      <c r="AG91" s="74"/>
      <c r="AH91" s="74"/>
      <c r="AI91" s="74"/>
      <c r="AJ91" s="74"/>
      <c r="AK91" s="74"/>
      <c r="AL91" s="127"/>
      <c r="AM91" s="74"/>
      <c r="AN91" s="162"/>
      <c r="AO91" s="74"/>
      <c r="AP91" s="74"/>
      <c r="AQ91" s="74">
        <v>92</v>
      </c>
      <c r="AR91" s="170">
        <v>42.5</v>
      </c>
      <c r="AS91" s="6"/>
    </row>
    <row r="92" spans="1:45" ht="13.5" customHeight="1">
      <c r="A92" s="6"/>
      <c r="B92" s="17"/>
      <c r="C92" s="10" t="s">
        <v>2</v>
      </c>
      <c r="D92" s="86">
        <f t="shared" ca="1" si="3"/>
        <v>2.4</v>
      </c>
      <c r="E92" s="83"/>
      <c r="F92" s="82">
        <f t="shared" ca="1" si="5"/>
        <v>2.4</v>
      </c>
      <c r="G92" s="90"/>
      <c r="H92" s="139"/>
      <c r="I92" s="140"/>
      <c r="J92" s="141">
        <f t="shared" ca="1" si="4"/>
        <v>162.5</v>
      </c>
      <c r="K92" s="88"/>
      <c r="L92" s="91"/>
      <c r="M92" s="37"/>
      <c r="N92" s="12" t="s">
        <v>2</v>
      </c>
      <c r="O92" s="31"/>
      <c r="P92" s="32"/>
      <c r="Q92" s="32"/>
      <c r="R92" s="32"/>
      <c r="S92" s="32"/>
      <c r="T92" s="32"/>
      <c r="U92" s="32"/>
      <c r="V92" s="32"/>
      <c r="W92" s="32"/>
      <c r="X92" s="32"/>
      <c r="Y92" s="32"/>
      <c r="Z92" s="32"/>
      <c r="AA92" s="32"/>
      <c r="AB92" s="32"/>
      <c r="AC92" s="75"/>
      <c r="AD92" s="75"/>
      <c r="AE92" s="75"/>
      <c r="AF92" s="75"/>
      <c r="AG92" s="75"/>
      <c r="AH92" s="75"/>
      <c r="AI92" s="75"/>
      <c r="AJ92" s="75"/>
      <c r="AK92" s="75"/>
      <c r="AL92" s="128"/>
      <c r="AM92" s="75"/>
      <c r="AN92" s="163"/>
      <c r="AO92" s="75"/>
      <c r="AP92" s="75"/>
      <c r="AQ92" s="75">
        <v>162.5</v>
      </c>
      <c r="AR92" s="171">
        <v>2.4</v>
      </c>
      <c r="AS92" s="6"/>
    </row>
    <row r="93" spans="1:45" ht="13.5" customHeight="1">
      <c r="A93" s="6"/>
      <c r="B93" s="21"/>
      <c r="C93" s="22" t="s">
        <v>3</v>
      </c>
      <c r="D93" s="86">
        <f t="shared" ca="1" si="3"/>
        <v>0</v>
      </c>
      <c r="E93" s="83"/>
      <c r="F93" s="82">
        <f t="shared" ca="1" si="5"/>
        <v>0</v>
      </c>
      <c r="G93" s="90"/>
      <c r="H93" s="142"/>
      <c r="I93" s="143"/>
      <c r="J93" s="144">
        <f t="shared" ca="1" si="4"/>
        <v>64.3</v>
      </c>
      <c r="K93" s="88"/>
      <c r="L93" s="91"/>
      <c r="M93" s="41"/>
      <c r="N93" s="44" t="s">
        <v>3</v>
      </c>
      <c r="O93" s="23"/>
      <c r="P93" s="24"/>
      <c r="Q93" s="24"/>
      <c r="R93" s="24"/>
      <c r="S93" s="24"/>
      <c r="T93" s="24"/>
      <c r="U93" s="24"/>
      <c r="V93" s="24"/>
      <c r="W93" s="24"/>
      <c r="X93" s="24"/>
      <c r="Y93" s="24"/>
      <c r="Z93" s="24"/>
      <c r="AA93" s="24"/>
      <c r="AB93" s="24"/>
      <c r="AC93" s="72"/>
      <c r="AD93" s="72"/>
      <c r="AE93" s="72"/>
      <c r="AF93" s="72"/>
      <c r="AG93" s="72"/>
      <c r="AH93" s="72"/>
      <c r="AI93" s="72"/>
      <c r="AJ93" s="72"/>
      <c r="AK93" s="72"/>
      <c r="AL93" s="125"/>
      <c r="AM93" s="72"/>
      <c r="AN93" s="160"/>
      <c r="AO93" s="72"/>
      <c r="AP93" s="72"/>
      <c r="AQ93" s="72">
        <v>64.3</v>
      </c>
      <c r="AR93" s="168">
        <v>0</v>
      </c>
      <c r="AS93" s="6"/>
    </row>
    <row r="94" spans="1:45" ht="13.5" customHeight="1">
      <c r="A94" s="6"/>
      <c r="B94" s="21" t="s">
        <v>10</v>
      </c>
      <c r="C94" s="22" t="s">
        <v>5</v>
      </c>
      <c r="D94" s="86">
        <f t="shared" ca="1" si="3"/>
        <v>2.6</v>
      </c>
      <c r="E94" s="83"/>
      <c r="F94" s="82">
        <f t="shared" ca="1" si="5"/>
        <v>2.6</v>
      </c>
      <c r="G94" s="90"/>
      <c r="H94" s="142"/>
      <c r="I94" s="143"/>
      <c r="J94" s="144">
        <f t="shared" ca="1" si="4"/>
        <v>4.0999999999999996</v>
      </c>
      <c r="K94" s="88"/>
      <c r="L94" s="91"/>
      <c r="M94" s="41" t="s">
        <v>10</v>
      </c>
      <c r="N94" s="44" t="s">
        <v>5</v>
      </c>
      <c r="O94" s="23"/>
      <c r="P94" s="24"/>
      <c r="Q94" s="24"/>
      <c r="R94" s="24"/>
      <c r="S94" s="24"/>
      <c r="T94" s="24"/>
      <c r="U94" s="24"/>
      <c r="V94" s="24"/>
      <c r="W94" s="24"/>
      <c r="X94" s="24"/>
      <c r="Y94" s="24"/>
      <c r="Z94" s="24"/>
      <c r="AA94" s="24"/>
      <c r="AB94" s="24"/>
      <c r="AC94" s="72"/>
      <c r="AD94" s="72"/>
      <c r="AE94" s="72"/>
      <c r="AF94" s="72"/>
      <c r="AG94" s="72"/>
      <c r="AH94" s="72"/>
      <c r="AI94" s="72"/>
      <c r="AJ94" s="72"/>
      <c r="AK94" s="72"/>
      <c r="AL94" s="125"/>
      <c r="AM94" s="72"/>
      <c r="AN94" s="160"/>
      <c r="AO94" s="72"/>
      <c r="AP94" s="72"/>
      <c r="AQ94" s="72">
        <v>4.0999999999999996</v>
      </c>
      <c r="AR94" s="168">
        <v>2.6</v>
      </c>
      <c r="AS94" s="6"/>
    </row>
    <row r="95" spans="1:45" ht="13.5" customHeight="1">
      <c r="A95" s="6"/>
      <c r="B95" s="21"/>
      <c r="C95" s="22" t="s">
        <v>6</v>
      </c>
      <c r="D95" s="86">
        <f t="shared" ca="1" si="3"/>
        <v>10.4</v>
      </c>
      <c r="E95" s="83"/>
      <c r="F95" s="82">
        <f t="shared" ca="1" si="5"/>
        <v>10.4</v>
      </c>
      <c r="G95" s="90"/>
      <c r="H95" s="142"/>
      <c r="I95" s="143"/>
      <c r="J95" s="144">
        <f t="shared" ca="1" si="4"/>
        <v>2.4</v>
      </c>
      <c r="K95" s="88"/>
      <c r="L95" s="91"/>
      <c r="M95" s="41"/>
      <c r="N95" s="44" t="s">
        <v>6</v>
      </c>
      <c r="O95" s="23"/>
      <c r="P95" s="24"/>
      <c r="Q95" s="24"/>
      <c r="R95" s="24"/>
      <c r="S95" s="24"/>
      <c r="T95" s="24"/>
      <c r="U95" s="24"/>
      <c r="V95" s="24"/>
      <c r="W95" s="24"/>
      <c r="X95" s="24"/>
      <c r="Y95" s="24"/>
      <c r="Z95" s="24"/>
      <c r="AA95" s="24"/>
      <c r="AB95" s="24"/>
      <c r="AC95" s="72"/>
      <c r="AD95" s="72"/>
      <c r="AE95" s="72"/>
      <c r="AF95" s="72"/>
      <c r="AG95" s="72"/>
      <c r="AH95" s="72"/>
      <c r="AI95" s="72"/>
      <c r="AJ95" s="72"/>
      <c r="AK95" s="72"/>
      <c r="AL95" s="125"/>
      <c r="AM95" s="72"/>
      <c r="AN95" s="160"/>
      <c r="AO95" s="72"/>
      <c r="AP95" s="72"/>
      <c r="AQ95" s="72">
        <v>2.4</v>
      </c>
      <c r="AR95" s="168">
        <v>10.4</v>
      </c>
      <c r="AS95" s="6"/>
    </row>
    <row r="96" spans="1:45" ht="13.5" customHeight="1">
      <c r="A96" s="6"/>
      <c r="B96" s="21"/>
      <c r="C96" s="22" t="s">
        <v>7</v>
      </c>
      <c r="D96" s="86">
        <f t="shared" ca="1" si="3"/>
        <v>17.399999999999999</v>
      </c>
      <c r="E96" s="83"/>
      <c r="F96" s="82">
        <f t="shared" ca="1" si="5"/>
        <v>17.399999999999999</v>
      </c>
      <c r="G96" s="90"/>
      <c r="H96" s="142"/>
      <c r="I96" s="143"/>
      <c r="J96" s="144">
        <f t="shared" ca="1" si="4"/>
        <v>27.73</v>
      </c>
      <c r="K96" s="88"/>
      <c r="L96" s="91"/>
      <c r="M96" s="41"/>
      <c r="N96" s="44" t="s">
        <v>7</v>
      </c>
      <c r="O96" s="23"/>
      <c r="P96" s="24"/>
      <c r="Q96" s="24"/>
      <c r="R96" s="24"/>
      <c r="S96" s="24"/>
      <c r="T96" s="24"/>
      <c r="U96" s="24"/>
      <c r="V96" s="24"/>
      <c r="W96" s="24"/>
      <c r="X96" s="24"/>
      <c r="Y96" s="24"/>
      <c r="Z96" s="24"/>
      <c r="AA96" s="24"/>
      <c r="AB96" s="24"/>
      <c r="AC96" s="72"/>
      <c r="AD96" s="72"/>
      <c r="AE96" s="72"/>
      <c r="AF96" s="72"/>
      <c r="AG96" s="72"/>
      <c r="AH96" s="72"/>
      <c r="AI96" s="72"/>
      <c r="AJ96" s="72"/>
      <c r="AK96" s="72"/>
      <c r="AL96" s="125"/>
      <c r="AM96" s="72"/>
      <c r="AN96" s="160"/>
      <c r="AO96" s="72"/>
      <c r="AP96" s="72"/>
      <c r="AQ96" s="72">
        <v>27.73</v>
      </c>
      <c r="AR96" s="168">
        <v>17.399999999999999</v>
      </c>
      <c r="AS96" s="6"/>
    </row>
    <row r="97" spans="1:45" ht="13.5" customHeight="1" thickBot="1">
      <c r="A97" s="6"/>
      <c r="B97" s="27"/>
      <c r="C97" s="28" t="s">
        <v>8</v>
      </c>
      <c r="D97" s="92">
        <f t="shared" ca="1" si="3"/>
        <v>8.6</v>
      </c>
      <c r="E97" s="84"/>
      <c r="F97" s="93">
        <f t="shared" ca="1" si="5"/>
        <v>8.6</v>
      </c>
      <c r="G97" s="94"/>
      <c r="H97" s="145"/>
      <c r="I97" s="146"/>
      <c r="J97" s="147">
        <f t="shared" ca="1" si="4"/>
        <v>38.4</v>
      </c>
      <c r="K97" s="95"/>
      <c r="L97" s="91"/>
      <c r="M97" s="4"/>
      <c r="N97" s="16" t="s">
        <v>8</v>
      </c>
      <c r="O97" s="36"/>
      <c r="P97" s="26"/>
      <c r="Q97" s="26"/>
      <c r="R97" s="26"/>
      <c r="S97" s="26"/>
      <c r="T97" s="26"/>
      <c r="U97" s="26"/>
      <c r="V97" s="26"/>
      <c r="W97" s="26"/>
      <c r="X97" s="26"/>
      <c r="Y97" s="26"/>
      <c r="Z97" s="26"/>
      <c r="AA97" s="26"/>
      <c r="AB97" s="26"/>
      <c r="AC97" s="73"/>
      <c r="AD97" s="73"/>
      <c r="AE97" s="73"/>
      <c r="AF97" s="73"/>
      <c r="AG97" s="73"/>
      <c r="AH97" s="73"/>
      <c r="AI97" s="73"/>
      <c r="AJ97" s="73"/>
      <c r="AK97" s="73"/>
      <c r="AL97" s="126"/>
      <c r="AM97" s="73"/>
      <c r="AN97" s="161"/>
      <c r="AO97" s="73"/>
      <c r="AP97" s="73"/>
      <c r="AQ97" s="73">
        <v>38.4</v>
      </c>
      <c r="AR97" s="169">
        <v>8.6</v>
      </c>
      <c r="AS97" s="6"/>
    </row>
    <row r="98" spans="1:45" ht="13.5" customHeight="1">
      <c r="A98" s="6"/>
      <c r="B98" s="21"/>
      <c r="C98" s="10" t="s">
        <v>2</v>
      </c>
      <c r="D98" s="86">
        <f t="shared" ca="1" si="3"/>
        <v>28.8</v>
      </c>
      <c r="E98" s="83"/>
      <c r="F98" s="82">
        <f t="shared" ca="1" si="5"/>
        <v>28.8</v>
      </c>
      <c r="G98" s="90"/>
      <c r="H98" s="139"/>
      <c r="I98" s="140"/>
      <c r="J98" s="141">
        <f t="shared" ca="1" si="4"/>
        <v>23</v>
      </c>
      <c r="K98" s="88"/>
      <c r="L98" s="91"/>
      <c r="M98" s="41"/>
      <c r="N98" s="12" t="s">
        <v>2</v>
      </c>
      <c r="O98" s="18"/>
      <c r="P98" s="19"/>
      <c r="Q98" s="19"/>
      <c r="R98" s="19"/>
      <c r="S98" s="19"/>
      <c r="T98" s="19"/>
      <c r="U98" s="19"/>
      <c r="V98" s="19"/>
      <c r="W98" s="19"/>
      <c r="X98" s="19"/>
      <c r="Y98" s="19"/>
      <c r="Z98" s="19"/>
      <c r="AA98" s="19"/>
      <c r="AB98" s="19"/>
      <c r="AC98" s="71"/>
      <c r="AD98" s="71"/>
      <c r="AE98" s="71"/>
      <c r="AF98" s="71"/>
      <c r="AG98" s="71"/>
      <c r="AH98" s="71"/>
      <c r="AI98" s="71"/>
      <c r="AJ98" s="71"/>
      <c r="AK98" s="71"/>
      <c r="AL98" s="124"/>
      <c r="AM98" s="71"/>
      <c r="AN98" s="159"/>
      <c r="AO98" s="71"/>
      <c r="AP98" s="71"/>
      <c r="AQ98" s="71">
        <v>23</v>
      </c>
      <c r="AR98" s="167">
        <v>28.8</v>
      </c>
      <c r="AS98" s="6"/>
    </row>
    <row r="99" spans="1:45" ht="13.5" customHeight="1">
      <c r="A99" s="6"/>
      <c r="B99" s="21"/>
      <c r="C99" s="22" t="s">
        <v>3</v>
      </c>
      <c r="D99" s="86">
        <f t="shared" ca="1" si="3"/>
        <v>3.8</v>
      </c>
      <c r="E99" s="83"/>
      <c r="F99" s="82">
        <f t="shared" ca="1" si="5"/>
        <v>3.8</v>
      </c>
      <c r="G99" s="90"/>
      <c r="H99" s="142"/>
      <c r="I99" s="143"/>
      <c r="J99" s="144">
        <f t="shared" ca="1" si="4"/>
        <v>6</v>
      </c>
      <c r="K99" s="88"/>
      <c r="L99" s="91"/>
      <c r="M99" s="41"/>
      <c r="N99" s="44" t="s">
        <v>3</v>
      </c>
      <c r="O99" s="23"/>
      <c r="P99" s="24"/>
      <c r="Q99" s="24"/>
      <c r="R99" s="24"/>
      <c r="S99" s="24"/>
      <c r="T99" s="24"/>
      <c r="U99" s="24"/>
      <c r="V99" s="24"/>
      <c r="W99" s="24"/>
      <c r="X99" s="24"/>
      <c r="Y99" s="24"/>
      <c r="Z99" s="24"/>
      <c r="AA99" s="24"/>
      <c r="AB99" s="24"/>
      <c r="AC99" s="72"/>
      <c r="AD99" s="72"/>
      <c r="AE99" s="72"/>
      <c r="AF99" s="72"/>
      <c r="AG99" s="72"/>
      <c r="AH99" s="72"/>
      <c r="AI99" s="72"/>
      <c r="AJ99" s="72"/>
      <c r="AK99" s="72"/>
      <c r="AL99" s="125"/>
      <c r="AM99" s="72"/>
      <c r="AN99" s="160"/>
      <c r="AO99" s="72"/>
      <c r="AP99" s="72"/>
      <c r="AQ99" s="72">
        <v>6</v>
      </c>
      <c r="AR99" s="168">
        <v>3.8</v>
      </c>
      <c r="AS99" s="6"/>
    </row>
    <row r="100" spans="1:45" ht="13.5" customHeight="1">
      <c r="A100" s="6"/>
      <c r="B100" s="21" t="s">
        <v>11</v>
      </c>
      <c r="C100" s="22" t="s">
        <v>5</v>
      </c>
      <c r="D100" s="86">
        <f t="shared" ca="1" si="3"/>
        <v>2.5</v>
      </c>
      <c r="E100" s="83"/>
      <c r="F100" s="82">
        <f t="shared" ca="1" si="5"/>
        <v>2.5</v>
      </c>
      <c r="G100" s="90"/>
      <c r="H100" s="142"/>
      <c r="I100" s="143"/>
      <c r="J100" s="144">
        <f t="shared" ca="1" si="4"/>
        <v>2.1</v>
      </c>
      <c r="K100" s="88"/>
      <c r="L100" s="91"/>
      <c r="M100" s="41" t="s">
        <v>11</v>
      </c>
      <c r="N100" s="44" t="s">
        <v>5</v>
      </c>
      <c r="O100" s="23"/>
      <c r="P100" s="24"/>
      <c r="Q100" s="24"/>
      <c r="R100" s="24"/>
      <c r="S100" s="24"/>
      <c r="T100" s="24"/>
      <c r="U100" s="24"/>
      <c r="V100" s="24"/>
      <c r="W100" s="24"/>
      <c r="X100" s="24"/>
      <c r="Y100" s="24"/>
      <c r="Z100" s="24"/>
      <c r="AA100" s="24"/>
      <c r="AB100" s="24"/>
      <c r="AC100" s="72"/>
      <c r="AD100" s="72"/>
      <c r="AE100" s="72"/>
      <c r="AF100" s="72"/>
      <c r="AG100" s="72"/>
      <c r="AH100" s="72"/>
      <c r="AI100" s="72"/>
      <c r="AJ100" s="72"/>
      <c r="AK100" s="72"/>
      <c r="AL100" s="125"/>
      <c r="AM100" s="72"/>
      <c r="AN100" s="160"/>
      <c r="AO100" s="72"/>
      <c r="AP100" s="72"/>
      <c r="AQ100" s="72">
        <v>2.1</v>
      </c>
      <c r="AR100" s="168">
        <v>2.5</v>
      </c>
      <c r="AS100" s="6"/>
    </row>
    <row r="101" spans="1:45" ht="13.5" customHeight="1">
      <c r="A101" s="6"/>
      <c r="B101" s="21"/>
      <c r="C101" s="22" t="s">
        <v>6</v>
      </c>
      <c r="D101" s="86">
        <f t="shared" ca="1" si="3"/>
        <v>0.7</v>
      </c>
      <c r="E101" s="83"/>
      <c r="F101" s="82">
        <f t="shared" ca="1" si="5"/>
        <v>0.7</v>
      </c>
      <c r="G101" s="90"/>
      <c r="H101" s="142"/>
      <c r="I101" s="143"/>
      <c r="J101" s="144">
        <f t="shared" ca="1" si="4"/>
        <v>5.9</v>
      </c>
      <c r="K101" s="88"/>
      <c r="L101" s="91"/>
      <c r="M101" s="41"/>
      <c r="N101" s="44" t="s">
        <v>6</v>
      </c>
      <c r="O101" s="23"/>
      <c r="P101" s="24"/>
      <c r="Q101" s="24"/>
      <c r="R101" s="24"/>
      <c r="S101" s="24"/>
      <c r="T101" s="24"/>
      <c r="U101" s="24"/>
      <c r="V101" s="24"/>
      <c r="W101" s="24"/>
      <c r="X101" s="24"/>
      <c r="Y101" s="24"/>
      <c r="Z101" s="24"/>
      <c r="AA101" s="24"/>
      <c r="AB101" s="24"/>
      <c r="AC101" s="72"/>
      <c r="AD101" s="72"/>
      <c r="AE101" s="72"/>
      <c r="AF101" s="72"/>
      <c r="AG101" s="72"/>
      <c r="AH101" s="72"/>
      <c r="AI101" s="72"/>
      <c r="AJ101" s="72"/>
      <c r="AK101" s="72"/>
      <c r="AL101" s="125"/>
      <c r="AM101" s="72"/>
      <c r="AN101" s="160"/>
      <c r="AO101" s="72"/>
      <c r="AP101" s="72"/>
      <c r="AQ101" s="72">
        <v>5.9</v>
      </c>
      <c r="AR101" s="168">
        <v>0.7</v>
      </c>
      <c r="AS101" s="6"/>
    </row>
    <row r="102" spans="1:45" ht="13.5" customHeight="1">
      <c r="A102" s="6"/>
      <c r="B102" s="21"/>
      <c r="C102" s="22" t="s">
        <v>7</v>
      </c>
      <c r="D102" s="86">
        <f t="shared" ca="1" si="3"/>
        <v>1.1000000000000001</v>
      </c>
      <c r="E102" s="83"/>
      <c r="F102" s="82">
        <f t="shared" ca="1" si="5"/>
        <v>1.1000000000000001</v>
      </c>
      <c r="G102" s="90"/>
      <c r="H102" s="142"/>
      <c r="I102" s="143"/>
      <c r="J102" s="144">
        <f t="shared" ca="1" si="4"/>
        <v>5</v>
      </c>
      <c r="K102" s="88"/>
      <c r="L102" s="91"/>
      <c r="M102" s="41"/>
      <c r="N102" s="44" t="s">
        <v>7</v>
      </c>
      <c r="O102" s="23"/>
      <c r="P102" s="24"/>
      <c r="Q102" s="24"/>
      <c r="R102" s="24"/>
      <c r="S102" s="24"/>
      <c r="T102" s="24"/>
      <c r="U102" s="24"/>
      <c r="V102" s="24"/>
      <c r="W102" s="24"/>
      <c r="X102" s="24"/>
      <c r="Y102" s="24"/>
      <c r="Z102" s="24"/>
      <c r="AA102" s="24"/>
      <c r="AB102" s="24"/>
      <c r="AC102" s="72"/>
      <c r="AD102" s="72"/>
      <c r="AE102" s="72"/>
      <c r="AF102" s="72"/>
      <c r="AG102" s="72"/>
      <c r="AH102" s="72"/>
      <c r="AI102" s="72"/>
      <c r="AJ102" s="72"/>
      <c r="AK102" s="72"/>
      <c r="AL102" s="125"/>
      <c r="AM102" s="72"/>
      <c r="AN102" s="160"/>
      <c r="AO102" s="72"/>
      <c r="AP102" s="72"/>
      <c r="AQ102" s="72">
        <v>5</v>
      </c>
      <c r="AR102" s="168">
        <v>1.1000000000000001</v>
      </c>
      <c r="AS102" s="6"/>
    </row>
    <row r="103" spans="1:45" ht="13.5" customHeight="1" thickBot="1">
      <c r="A103" s="6"/>
      <c r="B103" s="21"/>
      <c r="C103" s="28" t="s">
        <v>8</v>
      </c>
      <c r="D103" s="92">
        <f t="shared" ca="1" si="3"/>
        <v>0</v>
      </c>
      <c r="E103" s="84"/>
      <c r="F103" s="93">
        <f t="shared" ca="1" si="5"/>
        <v>0</v>
      </c>
      <c r="G103" s="94"/>
      <c r="H103" s="145"/>
      <c r="I103" s="146"/>
      <c r="J103" s="147">
        <f t="shared" ca="1" si="4"/>
        <v>0.83</v>
      </c>
      <c r="K103" s="95"/>
      <c r="L103" s="91"/>
      <c r="M103" s="41"/>
      <c r="N103" s="16" t="s">
        <v>8</v>
      </c>
      <c r="O103" s="29"/>
      <c r="P103" s="30"/>
      <c r="Q103" s="30"/>
      <c r="R103" s="30"/>
      <c r="S103" s="30"/>
      <c r="T103" s="30"/>
      <c r="U103" s="30"/>
      <c r="V103" s="30"/>
      <c r="W103" s="30"/>
      <c r="X103" s="30"/>
      <c r="Y103" s="30"/>
      <c r="Z103" s="30"/>
      <c r="AA103" s="30"/>
      <c r="AB103" s="30"/>
      <c r="AC103" s="74"/>
      <c r="AD103" s="74"/>
      <c r="AE103" s="74"/>
      <c r="AF103" s="74"/>
      <c r="AG103" s="74"/>
      <c r="AH103" s="74"/>
      <c r="AI103" s="74"/>
      <c r="AJ103" s="74"/>
      <c r="AK103" s="74"/>
      <c r="AL103" s="127"/>
      <c r="AM103" s="74"/>
      <c r="AN103" s="162"/>
      <c r="AO103" s="74"/>
      <c r="AP103" s="74"/>
      <c r="AQ103" s="74">
        <v>0.83</v>
      </c>
      <c r="AR103" s="170">
        <v>0</v>
      </c>
      <c r="AS103" s="6"/>
    </row>
    <row r="104" spans="1:45" ht="13.5" customHeight="1">
      <c r="A104" s="6"/>
      <c r="B104" s="17"/>
      <c r="C104" s="10" t="s">
        <v>2</v>
      </c>
      <c r="D104" s="86">
        <f t="shared" ca="1" si="3"/>
        <v>2.8</v>
      </c>
      <c r="E104" s="83"/>
      <c r="F104" s="82">
        <f t="shared" ca="1" si="5"/>
        <v>2.8</v>
      </c>
      <c r="G104" s="90"/>
      <c r="H104" s="139"/>
      <c r="I104" s="140"/>
      <c r="J104" s="141">
        <f t="shared" ca="1" si="4"/>
        <v>10</v>
      </c>
      <c r="K104" s="88"/>
      <c r="L104" s="91"/>
      <c r="M104" s="37"/>
      <c r="N104" s="12" t="s">
        <v>2</v>
      </c>
      <c r="O104" s="31"/>
      <c r="P104" s="32"/>
      <c r="Q104" s="32"/>
      <c r="R104" s="32"/>
      <c r="S104" s="32"/>
      <c r="T104" s="32"/>
      <c r="U104" s="32"/>
      <c r="V104" s="32"/>
      <c r="W104" s="32"/>
      <c r="X104" s="32"/>
      <c r="Y104" s="32"/>
      <c r="Z104" s="32"/>
      <c r="AA104" s="32"/>
      <c r="AB104" s="32"/>
      <c r="AC104" s="75"/>
      <c r="AD104" s="75"/>
      <c r="AE104" s="75"/>
      <c r="AF104" s="75"/>
      <c r="AG104" s="75"/>
      <c r="AH104" s="75"/>
      <c r="AI104" s="75"/>
      <c r="AJ104" s="75"/>
      <c r="AK104" s="75"/>
      <c r="AL104" s="128"/>
      <c r="AM104" s="75"/>
      <c r="AN104" s="163"/>
      <c r="AO104" s="75"/>
      <c r="AP104" s="75"/>
      <c r="AQ104" s="75">
        <v>10</v>
      </c>
      <c r="AR104" s="171">
        <v>2.8</v>
      </c>
      <c r="AS104" s="6"/>
    </row>
    <row r="105" spans="1:45" ht="13.5" customHeight="1">
      <c r="A105" s="6"/>
      <c r="B105" s="21"/>
      <c r="C105" s="22" t="s">
        <v>3</v>
      </c>
      <c r="D105" s="86">
        <f t="shared" ca="1" si="3"/>
        <v>14.3</v>
      </c>
      <c r="E105" s="83"/>
      <c r="F105" s="82">
        <f t="shared" ca="1" si="5"/>
        <v>14.3</v>
      </c>
      <c r="G105" s="90"/>
      <c r="H105" s="142"/>
      <c r="I105" s="143"/>
      <c r="J105" s="144">
        <f t="shared" ca="1" si="4"/>
        <v>14</v>
      </c>
      <c r="K105" s="88"/>
      <c r="L105" s="91"/>
      <c r="M105" s="41"/>
      <c r="N105" s="44" t="s">
        <v>3</v>
      </c>
      <c r="O105" s="23"/>
      <c r="P105" s="24"/>
      <c r="Q105" s="24"/>
      <c r="R105" s="24"/>
      <c r="S105" s="24"/>
      <c r="T105" s="24"/>
      <c r="U105" s="24"/>
      <c r="V105" s="24"/>
      <c r="W105" s="24"/>
      <c r="X105" s="24"/>
      <c r="Y105" s="24"/>
      <c r="Z105" s="24"/>
      <c r="AA105" s="24"/>
      <c r="AB105" s="24"/>
      <c r="AC105" s="72"/>
      <c r="AD105" s="72"/>
      <c r="AE105" s="72"/>
      <c r="AF105" s="72"/>
      <c r="AG105" s="72"/>
      <c r="AH105" s="72"/>
      <c r="AI105" s="72"/>
      <c r="AJ105" s="72"/>
      <c r="AK105" s="72"/>
      <c r="AL105" s="125"/>
      <c r="AM105" s="72"/>
      <c r="AN105" s="160"/>
      <c r="AO105" s="72"/>
      <c r="AP105" s="72"/>
      <c r="AQ105" s="72">
        <v>14</v>
      </c>
      <c r="AR105" s="168">
        <v>14.3</v>
      </c>
      <c r="AS105" s="6"/>
    </row>
    <row r="106" spans="1:45" ht="13.5" customHeight="1">
      <c r="A106" s="6"/>
      <c r="B106" s="21" t="s">
        <v>12</v>
      </c>
      <c r="C106" s="22" t="s">
        <v>5</v>
      </c>
      <c r="D106" s="86">
        <f t="shared" ca="1" si="3"/>
        <v>14</v>
      </c>
      <c r="E106" s="83"/>
      <c r="F106" s="82">
        <f t="shared" ca="1" si="5"/>
        <v>14</v>
      </c>
      <c r="G106" s="90"/>
      <c r="H106" s="142"/>
      <c r="I106" s="143"/>
      <c r="J106" s="144">
        <f t="shared" ca="1" si="4"/>
        <v>22</v>
      </c>
      <c r="K106" s="88"/>
      <c r="L106" s="91"/>
      <c r="M106" s="41" t="s">
        <v>12</v>
      </c>
      <c r="N106" s="44" t="s">
        <v>5</v>
      </c>
      <c r="O106" s="23"/>
      <c r="P106" s="24"/>
      <c r="Q106" s="24"/>
      <c r="R106" s="24"/>
      <c r="S106" s="24"/>
      <c r="T106" s="24"/>
      <c r="U106" s="24"/>
      <c r="V106" s="24"/>
      <c r="W106" s="24"/>
      <c r="X106" s="24"/>
      <c r="Y106" s="24"/>
      <c r="Z106" s="24"/>
      <c r="AA106" s="24"/>
      <c r="AB106" s="24"/>
      <c r="AC106" s="72"/>
      <c r="AD106" s="72"/>
      <c r="AE106" s="72"/>
      <c r="AF106" s="72"/>
      <c r="AG106" s="72"/>
      <c r="AH106" s="72"/>
      <c r="AI106" s="72"/>
      <c r="AJ106" s="72"/>
      <c r="AK106" s="72"/>
      <c r="AL106" s="125"/>
      <c r="AM106" s="72"/>
      <c r="AN106" s="160"/>
      <c r="AO106" s="72"/>
      <c r="AP106" s="72"/>
      <c r="AQ106" s="72">
        <v>22</v>
      </c>
      <c r="AR106" s="168">
        <v>14</v>
      </c>
      <c r="AS106" s="6"/>
    </row>
    <row r="107" spans="1:45" ht="13.5" customHeight="1">
      <c r="A107" s="6"/>
      <c r="B107" s="21"/>
      <c r="C107" s="22" t="s">
        <v>6</v>
      </c>
      <c r="D107" s="86">
        <f t="shared" ca="1" si="3"/>
        <v>9</v>
      </c>
      <c r="E107" s="83"/>
      <c r="F107" s="82">
        <f t="shared" ca="1" si="5"/>
        <v>9</v>
      </c>
      <c r="G107" s="90"/>
      <c r="H107" s="142"/>
      <c r="I107" s="143"/>
      <c r="J107" s="144">
        <f t="shared" ca="1" si="4"/>
        <v>78</v>
      </c>
      <c r="K107" s="88"/>
      <c r="L107" s="91"/>
      <c r="M107" s="41"/>
      <c r="N107" s="44" t="s">
        <v>6</v>
      </c>
      <c r="O107" s="23"/>
      <c r="P107" s="24"/>
      <c r="Q107" s="24"/>
      <c r="R107" s="24"/>
      <c r="S107" s="24"/>
      <c r="T107" s="24"/>
      <c r="U107" s="24"/>
      <c r="V107" s="24"/>
      <c r="W107" s="24"/>
      <c r="X107" s="24"/>
      <c r="Y107" s="24"/>
      <c r="Z107" s="24"/>
      <c r="AA107" s="24"/>
      <c r="AB107" s="24"/>
      <c r="AC107" s="72"/>
      <c r="AD107" s="72"/>
      <c r="AE107" s="72"/>
      <c r="AF107" s="72"/>
      <c r="AG107" s="72"/>
      <c r="AH107" s="72"/>
      <c r="AI107" s="72"/>
      <c r="AJ107" s="72"/>
      <c r="AK107" s="72"/>
      <c r="AL107" s="125"/>
      <c r="AM107" s="72"/>
      <c r="AN107" s="160"/>
      <c r="AO107" s="72"/>
      <c r="AP107" s="72"/>
      <c r="AQ107" s="72">
        <v>78</v>
      </c>
      <c r="AR107" s="168">
        <v>9</v>
      </c>
      <c r="AS107" s="6"/>
    </row>
    <row r="108" spans="1:45" ht="13.5" customHeight="1">
      <c r="A108" s="6"/>
      <c r="B108" s="21"/>
      <c r="C108" s="22" t="s">
        <v>7</v>
      </c>
      <c r="D108" s="86">
        <f t="shared" ca="1" si="3"/>
        <v>5</v>
      </c>
      <c r="E108" s="83"/>
      <c r="F108" s="82">
        <f t="shared" ca="1" si="5"/>
        <v>5</v>
      </c>
      <c r="G108" s="90"/>
      <c r="H108" s="142"/>
      <c r="I108" s="143"/>
      <c r="J108" s="144">
        <f t="shared" ca="1" si="4"/>
        <v>74</v>
      </c>
      <c r="K108" s="88"/>
      <c r="L108" s="91"/>
      <c r="M108" s="41"/>
      <c r="N108" s="44" t="s">
        <v>7</v>
      </c>
      <c r="O108" s="23"/>
      <c r="P108" s="24"/>
      <c r="Q108" s="24"/>
      <c r="R108" s="24"/>
      <c r="S108" s="24"/>
      <c r="T108" s="24"/>
      <c r="U108" s="24"/>
      <c r="V108" s="24"/>
      <c r="W108" s="24"/>
      <c r="X108" s="24"/>
      <c r="Y108" s="24"/>
      <c r="Z108" s="24"/>
      <c r="AA108" s="24"/>
      <c r="AB108" s="24"/>
      <c r="AC108" s="72"/>
      <c r="AD108" s="72"/>
      <c r="AE108" s="72"/>
      <c r="AF108" s="72"/>
      <c r="AG108" s="72"/>
      <c r="AH108" s="72"/>
      <c r="AI108" s="72"/>
      <c r="AJ108" s="72"/>
      <c r="AK108" s="72"/>
      <c r="AL108" s="125"/>
      <c r="AM108" s="72"/>
      <c r="AN108" s="160"/>
      <c r="AO108" s="72"/>
      <c r="AP108" s="72"/>
      <c r="AQ108" s="72">
        <v>74</v>
      </c>
      <c r="AR108" s="168">
        <v>5</v>
      </c>
      <c r="AS108" s="6"/>
    </row>
    <row r="109" spans="1:45" ht="13.5" customHeight="1" thickBot="1">
      <c r="A109" s="6"/>
      <c r="B109" s="27"/>
      <c r="C109" s="28" t="s">
        <v>8</v>
      </c>
      <c r="D109" s="92">
        <f t="shared" ca="1" si="3"/>
        <v>1.4</v>
      </c>
      <c r="E109" s="84"/>
      <c r="F109" s="93">
        <f t="shared" ca="1" si="5"/>
        <v>1.4</v>
      </c>
      <c r="G109" s="94"/>
      <c r="H109" s="145"/>
      <c r="I109" s="146"/>
      <c r="J109" s="147">
        <f t="shared" ca="1" si="4"/>
        <v>60</v>
      </c>
      <c r="K109" s="95"/>
      <c r="L109" s="91"/>
      <c r="M109" s="4"/>
      <c r="N109" s="16" t="s">
        <v>8</v>
      </c>
      <c r="O109" s="36"/>
      <c r="P109" s="26"/>
      <c r="Q109" s="26"/>
      <c r="R109" s="26"/>
      <c r="S109" s="26"/>
      <c r="T109" s="26"/>
      <c r="U109" s="26"/>
      <c r="V109" s="26"/>
      <c r="W109" s="26"/>
      <c r="X109" s="26"/>
      <c r="Y109" s="26"/>
      <c r="Z109" s="26"/>
      <c r="AA109" s="26"/>
      <c r="AB109" s="26"/>
      <c r="AC109" s="73"/>
      <c r="AD109" s="73"/>
      <c r="AE109" s="73"/>
      <c r="AF109" s="73"/>
      <c r="AG109" s="73"/>
      <c r="AH109" s="73"/>
      <c r="AI109" s="73"/>
      <c r="AJ109" s="73"/>
      <c r="AK109" s="73"/>
      <c r="AL109" s="126"/>
      <c r="AM109" s="73"/>
      <c r="AN109" s="161"/>
      <c r="AO109" s="73"/>
      <c r="AP109" s="73"/>
      <c r="AQ109" s="73">
        <v>60</v>
      </c>
      <c r="AR109" s="169">
        <v>1.4</v>
      </c>
      <c r="AS109" s="6"/>
    </row>
    <row r="110" spans="1:45" ht="13.5" customHeight="1">
      <c r="A110" s="6"/>
      <c r="B110" s="21"/>
      <c r="C110" s="10" t="s">
        <v>2</v>
      </c>
      <c r="D110" s="86">
        <f t="shared" ca="1" si="3"/>
        <v>2.1</v>
      </c>
      <c r="E110" s="83"/>
      <c r="F110" s="82">
        <f t="shared" ca="1" si="5"/>
        <v>2.1</v>
      </c>
      <c r="G110" s="90"/>
      <c r="H110" s="139"/>
      <c r="I110" s="140"/>
      <c r="J110" s="141">
        <f t="shared" ca="1" si="4"/>
        <v>326</v>
      </c>
      <c r="K110" s="88"/>
      <c r="L110" s="91"/>
      <c r="M110" s="41"/>
      <c r="N110" s="12" t="s">
        <v>2</v>
      </c>
      <c r="O110" s="18"/>
      <c r="P110" s="19"/>
      <c r="Q110" s="19"/>
      <c r="R110" s="19"/>
      <c r="S110" s="19"/>
      <c r="T110" s="19"/>
      <c r="U110" s="19"/>
      <c r="V110" s="19"/>
      <c r="W110" s="19"/>
      <c r="X110" s="19"/>
      <c r="Y110" s="19"/>
      <c r="Z110" s="19"/>
      <c r="AA110" s="19"/>
      <c r="AB110" s="19"/>
      <c r="AC110" s="71"/>
      <c r="AD110" s="71"/>
      <c r="AE110" s="71"/>
      <c r="AF110" s="71"/>
      <c r="AG110" s="71"/>
      <c r="AH110" s="71"/>
      <c r="AI110" s="71"/>
      <c r="AJ110" s="71"/>
      <c r="AK110" s="71"/>
      <c r="AL110" s="124"/>
      <c r="AM110" s="71"/>
      <c r="AN110" s="159"/>
      <c r="AO110" s="71"/>
      <c r="AP110" s="71"/>
      <c r="AQ110" s="71">
        <v>326</v>
      </c>
      <c r="AR110" s="167">
        <v>2.1</v>
      </c>
      <c r="AS110" s="6"/>
    </row>
    <row r="111" spans="1:45" ht="13.5" customHeight="1">
      <c r="A111" s="6"/>
      <c r="B111" s="21"/>
      <c r="C111" s="22" t="s">
        <v>3</v>
      </c>
      <c r="D111" s="86">
        <f t="shared" ca="1" si="3"/>
        <v>2.5</v>
      </c>
      <c r="E111" s="83"/>
      <c r="F111" s="82">
        <f t="shared" ca="1" si="5"/>
        <v>2.5</v>
      </c>
      <c r="G111" s="90"/>
      <c r="H111" s="142"/>
      <c r="I111" s="143"/>
      <c r="J111" s="144">
        <f t="shared" ca="1" si="4"/>
        <v>156.80000000000001</v>
      </c>
      <c r="K111" s="88"/>
      <c r="L111" s="91"/>
      <c r="M111" s="41"/>
      <c r="N111" s="44" t="s">
        <v>3</v>
      </c>
      <c r="O111" s="23"/>
      <c r="P111" s="24"/>
      <c r="Q111" s="24"/>
      <c r="R111" s="24"/>
      <c r="S111" s="24"/>
      <c r="T111" s="24"/>
      <c r="U111" s="24"/>
      <c r="V111" s="24"/>
      <c r="W111" s="24"/>
      <c r="X111" s="24"/>
      <c r="Y111" s="24"/>
      <c r="Z111" s="24"/>
      <c r="AA111" s="24"/>
      <c r="AB111" s="24"/>
      <c r="AC111" s="72"/>
      <c r="AD111" s="72"/>
      <c r="AE111" s="72"/>
      <c r="AF111" s="72"/>
      <c r="AG111" s="72"/>
      <c r="AH111" s="72"/>
      <c r="AI111" s="72"/>
      <c r="AJ111" s="72"/>
      <c r="AK111" s="72"/>
      <c r="AL111" s="125"/>
      <c r="AM111" s="72"/>
      <c r="AN111" s="160"/>
      <c r="AO111" s="72"/>
      <c r="AP111" s="72"/>
      <c r="AQ111" s="72">
        <v>156.80000000000001</v>
      </c>
      <c r="AR111" s="168">
        <v>2.5</v>
      </c>
      <c r="AS111" s="6"/>
    </row>
    <row r="112" spans="1:45" ht="13.5" customHeight="1">
      <c r="A112" s="6"/>
      <c r="B112" s="21" t="s">
        <v>117</v>
      </c>
      <c r="C112" s="22" t="s">
        <v>5</v>
      </c>
      <c r="D112" s="86">
        <f t="shared" ca="1" si="3"/>
        <v>3.8</v>
      </c>
      <c r="E112" s="83"/>
      <c r="F112" s="82">
        <f t="shared" ca="1" si="5"/>
        <v>3.8</v>
      </c>
      <c r="G112" s="90"/>
      <c r="H112" s="142"/>
      <c r="I112" s="143"/>
      <c r="J112" s="144">
        <f t="shared" ca="1" si="4"/>
        <v>134.19999999999999</v>
      </c>
      <c r="K112" s="88"/>
      <c r="L112" s="91"/>
      <c r="M112" s="41" t="s">
        <v>13</v>
      </c>
      <c r="N112" s="44" t="s">
        <v>5</v>
      </c>
      <c r="O112" s="23"/>
      <c r="P112" s="24"/>
      <c r="Q112" s="24"/>
      <c r="R112" s="24"/>
      <c r="S112" s="24"/>
      <c r="T112" s="24"/>
      <c r="U112" s="24"/>
      <c r="V112" s="24"/>
      <c r="W112" s="24"/>
      <c r="X112" s="24"/>
      <c r="Y112" s="24"/>
      <c r="Z112" s="24"/>
      <c r="AA112" s="24"/>
      <c r="AB112" s="24"/>
      <c r="AC112" s="72"/>
      <c r="AD112" s="72"/>
      <c r="AE112" s="72"/>
      <c r="AF112" s="72"/>
      <c r="AG112" s="72"/>
      <c r="AH112" s="72"/>
      <c r="AI112" s="72"/>
      <c r="AJ112" s="72"/>
      <c r="AK112" s="72"/>
      <c r="AL112" s="125"/>
      <c r="AM112" s="72"/>
      <c r="AN112" s="160"/>
      <c r="AO112" s="72"/>
      <c r="AP112" s="72"/>
      <c r="AQ112" s="72">
        <v>134.19999999999999</v>
      </c>
      <c r="AR112" s="168">
        <v>3.8</v>
      </c>
      <c r="AS112" s="6"/>
    </row>
    <row r="113" spans="1:45" ht="13.5" customHeight="1">
      <c r="A113" s="6"/>
      <c r="B113" s="21"/>
      <c r="C113" s="22" t="s">
        <v>6</v>
      </c>
      <c r="D113" s="86">
        <f t="shared" ca="1" si="3"/>
        <v>4.4000000000000004</v>
      </c>
      <c r="E113" s="83"/>
      <c r="F113" s="82">
        <f t="shared" ca="1" si="5"/>
        <v>4.4000000000000004</v>
      </c>
      <c r="G113" s="90"/>
      <c r="H113" s="142"/>
      <c r="I113" s="143"/>
      <c r="J113" s="144">
        <f t="shared" ca="1" si="4"/>
        <v>44</v>
      </c>
      <c r="K113" s="88"/>
      <c r="L113" s="91"/>
      <c r="M113" s="41"/>
      <c r="N113" s="44" t="s">
        <v>6</v>
      </c>
      <c r="O113" s="23"/>
      <c r="P113" s="24"/>
      <c r="Q113" s="24"/>
      <c r="R113" s="24"/>
      <c r="S113" s="24"/>
      <c r="T113" s="24"/>
      <c r="U113" s="24"/>
      <c r="V113" s="24"/>
      <c r="W113" s="24"/>
      <c r="X113" s="24"/>
      <c r="Y113" s="24"/>
      <c r="Z113" s="24"/>
      <c r="AA113" s="24"/>
      <c r="AB113" s="24"/>
      <c r="AC113" s="72"/>
      <c r="AD113" s="72"/>
      <c r="AE113" s="72"/>
      <c r="AF113" s="72"/>
      <c r="AG113" s="72"/>
      <c r="AH113" s="72"/>
      <c r="AI113" s="72"/>
      <c r="AJ113" s="72"/>
      <c r="AK113" s="72"/>
      <c r="AL113" s="125"/>
      <c r="AM113" s="72"/>
      <c r="AN113" s="160"/>
      <c r="AO113" s="72"/>
      <c r="AP113" s="72"/>
      <c r="AQ113" s="72">
        <v>44</v>
      </c>
      <c r="AR113" s="168">
        <v>4.4000000000000004</v>
      </c>
      <c r="AS113" s="6"/>
    </row>
    <row r="114" spans="1:45" ht="13.5" customHeight="1">
      <c r="A114" s="6"/>
      <c r="B114" s="21"/>
      <c r="C114" s="22" t="s">
        <v>7</v>
      </c>
      <c r="D114" s="86">
        <f t="shared" ca="1" si="3"/>
        <v>1.3</v>
      </c>
      <c r="E114" s="83"/>
      <c r="F114" s="82">
        <f t="shared" ca="1" si="5"/>
        <v>1.3</v>
      </c>
      <c r="G114" s="90"/>
      <c r="H114" s="142"/>
      <c r="I114" s="143"/>
      <c r="J114" s="144">
        <f t="shared" ca="1" si="4"/>
        <v>33.299999999999997</v>
      </c>
      <c r="K114" s="88"/>
      <c r="L114" s="91"/>
      <c r="M114" s="41"/>
      <c r="N114" s="44" t="s">
        <v>7</v>
      </c>
      <c r="O114" s="23"/>
      <c r="P114" s="24"/>
      <c r="Q114" s="24"/>
      <c r="R114" s="24"/>
      <c r="S114" s="24"/>
      <c r="T114" s="24"/>
      <c r="U114" s="24"/>
      <c r="V114" s="24"/>
      <c r="W114" s="24"/>
      <c r="X114" s="24"/>
      <c r="Y114" s="24"/>
      <c r="Z114" s="24"/>
      <c r="AA114" s="24"/>
      <c r="AB114" s="24"/>
      <c r="AC114" s="72"/>
      <c r="AD114" s="72"/>
      <c r="AE114" s="72"/>
      <c r="AF114" s="72"/>
      <c r="AG114" s="72"/>
      <c r="AH114" s="72"/>
      <c r="AI114" s="72"/>
      <c r="AJ114" s="72"/>
      <c r="AK114" s="72"/>
      <c r="AL114" s="125"/>
      <c r="AM114" s="72"/>
      <c r="AN114" s="160"/>
      <c r="AO114" s="72"/>
      <c r="AP114" s="72"/>
      <c r="AQ114" s="72">
        <v>33.299999999999997</v>
      </c>
      <c r="AR114" s="168">
        <v>1.3</v>
      </c>
      <c r="AS114" s="6"/>
    </row>
    <row r="115" spans="1:45" ht="13.5" customHeight="1" thickBot="1">
      <c r="A115" s="6"/>
      <c r="B115" s="21"/>
      <c r="C115" s="28" t="s">
        <v>8</v>
      </c>
      <c r="D115" s="92">
        <f t="shared" ca="1" si="3"/>
        <v>2</v>
      </c>
      <c r="E115" s="84"/>
      <c r="F115" s="93">
        <f t="shared" ca="1" si="5"/>
        <v>2</v>
      </c>
      <c r="G115" s="94"/>
      <c r="H115" s="145"/>
      <c r="I115" s="146"/>
      <c r="J115" s="147">
        <f t="shared" ca="1" si="4"/>
        <v>18.7</v>
      </c>
      <c r="K115" s="95"/>
      <c r="L115" s="91"/>
      <c r="M115" s="41"/>
      <c r="N115" s="16" t="s">
        <v>8</v>
      </c>
      <c r="O115" s="29"/>
      <c r="P115" s="30"/>
      <c r="Q115" s="30"/>
      <c r="R115" s="30"/>
      <c r="S115" s="30"/>
      <c r="T115" s="30"/>
      <c r="U115" s="30"/>
      <c r="V115" s="30"/>
      <c r="W115" s="30"/>
      <c r="X115" s="30"/>
      <c r="Y115" s="30"/>
      <c r="Z115" s="30"/>
      <c r="AA115" s="30"/>
      <c r="AB115" s="30"/>
      <c r="AC115" s="74"/>
      <c r="AD115" s="74"/>
      <c r="AE115" s="74"/>
      <c r="AF115" s="74"/>
      <c r="AG115" s="74"/>
      <c r="AH115" s="74"/>
      <c r="AI115" s="74"/>
      <c r="AJ115" s="74"/>
      <c r="AK115" s="74"/>
      <c r="AL115" s="127"/>
      <c r="AM115" s="74"/>
      <c r="AN115" s="162"/>
      <c r="AO115" s="74"/>
      <c r="AP115" s="74"/>
      <c r="AQ115" s="74">
        <v>18.7</v>
      </c>
      <c r="AR115" s="170">
        <v>2</v>
      </c>
      <c r="AS115" s="6"/>
    </row>
    <row r="116" spans="1:45" ht="13.5" customHeight="1">
      <c r="A116" s="6"/>
      <c r="B116" s="17"/>
      <c r="C116" s="10" t="s">
        <v>2</v>
      </c>
      <c r="D116" s="86">
        <f t="shared" ca="1" si="3"/>
        <v>1.8</v>
      </c>
      <c r="E116" s="83"/>
      <c r="F116" s="82">
        <f t="shared" ca="1" si="5"/>
        <v>1.8</v>
      </c>
      <c r="G116" s="90"/>
      <c r="H116" s="139"/>
      <c r="I116" s="140"/>
      <c r="J116" s="141">
        <f t="shared" ca="1" si="4"/>
        <v>9.1999999999999993</v>
      </c>
      <c r="K116" s="88"/>
      <c r="L116" s="91"/>
      <c r="M116" s="37"/>
      <c r="N116" s="12" t="s">
        <v>2</v>
      </c>
      <c r="O116" s="31"/>
      <c r="P116" s="32"/>
      <c r="Q116" s="32"/>
      <c r="R116" s="32"/>
      <c r="S116" s="32"/>
      <c r="T116" s="32"/>
      <c r="U116" s="32"/>
      <c r="V116" s="32"/>
      <c r="W116" s="32"/>
      <c r="X116" s="32"/>
      <c r="Y116" s="32"/>
      <c r="Z116" s="32"/>
      <c r="AA116" s="32"/>
      <c r="AB116" s="32"/>
      <c r="AC116" s="75"/>
      <c r="AD116" s="75"/>
      <c r="AE116" s="75"/>
      <c r="AF116" s="75"/>
      <c r="AG116" s="75"/>
      <c r="AH116" s="75"/>
      <c r="AI116" s="75"/>
      <c r="AJ116" s="75"/>
      <c r="AK116" s="75"/>
      <c r="AL116" s="128"/>
      <c r="AM116" s="75"/>
      <c r="AN116" s="163"/>
      <c r="AO116" s="75"/>
      <c r="AP116" s="75"/>
      <c r="AQ116" s="75">
        <v>9.1999999999999993</v>
      </c>
      <c r="AR116" s="171">
        <v>1.8</v>
      </c>
      <c r="AS116" s="6"/>
    </row>
    <row r="117" spans="1:45" ht="13.5" customHeight="1">
      <c r="A117" s="6"/>
      <c r="B117" s="21"/>
      <c r="C117" s="22" t="s">
        <v>3</v>
      </c>
      <c r="D117" s="86">
        <f t="shared" ca="1" si="3"/>
        <v>3</v>
      </c>
      <c r="E117" s="83"/>
      <c r="F117" s="82">
        <f t="shared" ca="1" si="5"/>
        <v>3</v>
      </c>
      <c r="G117" s="90"/>
      <c r="H117" s="142"/>
      <c r="I117" s="143"/>
      <c r="J117" s="144">
        <f t="shared" ca="1" si="4"/>
        <v>25</v>
      </c>
      <c r="K117" s="88"/>
      <c r="L117" s="91"/>
      <c r="M117" s="41"/>
      <c r="N117" s="44" t="s">
        <v>3</v>
      </c>
      <c r="O117" s="23"/>
      <c r="P117" s="24"/>
      <c r="Q117" s="24"/>
      <c r="R117" s="24"/>
      <c r="S117" s="24"/>
      <c r="T117" s="24"/>
      <c r="U117" s="24"/>
      <c r="V117" s="24"/>
      <c r="W117" s="24"/>
      <c r="X117" s="24"/>
      <c r="Y117" s="24"/>
      <c r="Z117" s="24"/>
      <c r="AA117" s="24"/>
      <c r="AB117" s="24"/>
      <c r="AC117" s="72"/>
      <c r="AD117" s="72"/>
      <c r="AE117" s="72"/>
      <c r="AF117" s="72"/>
      <c r="AG117" s="72"/>
      <c r="AH117" s="72"/>
      <c r="AI117" s="72"/>
      <c r="AJ117" s="72"/>
      <c r="AK117" s="72"/>
      <c r="AL117" s="125"/>
      <c r="AM117" s="72"/>
      <c r="AN117" s="160"/>
      <c r="AO117" s="72"/>
      <c r="AP117" s="72"/>
      <c r="AQ117" s="72">
        <v>25</v>
      </c>
      <c r="AR117" s="168">
        <v>3</v>
      </c>
      <c r="AS117" s="6"/>
    </row>
    <row r="118" spans="1:45" ht="13.5" customHeight="1">
      <c r="A118" s="6"/>
      <c r="B118" s="21" t="s">
        <v>118</v>
      </c>
      <c r="C118" s="22" t="s">
        <v>5</v>
      </c>
      <c r="D118" s="86">
        <f t="shared" ca="1" si="3"/>
        <v>4</v>
      </c>
      <c r="E118" s="83"/>
      <c r="F118" s="82">
        <f t="shared" ca="1" si="5"/>
        <v>4</v>
      </c>
      <c r="G118" s="90"/>
      <c r="H118" s="142"/>
      <c r="I118" s="143"/>
      <c r="J118" s="144">
        <f t="shared" ca="1" si="4"/>
        <v>4.2</v>
      </c>
      <c r="K118" s="88"/>
      <c r="L118" s="91"/>
      <c r="M118" s="41" t="s">
        <v>14</v>
      </c>
      <c r="N118" s="44" t="s">
        <v>5</v>
      </c>
      <c r="O118" s="23"/>
      <c r="P118" s="24"/>
      <c r="Q118" s="24"/>
      <c r="R118" s="24"/>
      <c r="S118" s="24"/>
      <c r="T118" s="24"/>
      <c r="U118" s="24"/>
      <c r="V118" s="24"/>
      <c r="W118" s="24"/>
      <c r="X118" s="24"/>
      <c r="Y118" s="24"/>
      <c r="Z118" s="24"/>
      <c r="AA118" s="24"/>
      <c r="AB118" s="24"/>
      <c r="AC118" s="72"/>
      <c r="AD118" s="72"/>
      <c r="AE118" s="72"/>
      <c r="AF118" s="72"/>
      <c r="AG118" s="72"/>
      <c r="AH118" s="72"/>
      <c r="AI118" s="72"/>
      <c r="AJ118" s="72"/>
      <c r="AK118" s="72"/>
      <c r="AL118" s="125"/>
      <c r="AM118" s="72"/>
      <c r="AN118" s="160"/>
      <c r="AO118" s="72"/>
      <c r="AP118" s="72"/>
      <c r="AQ118" s="72">
        <v>4.2</v>
      </c>
      <c r="AR118" s="168">
        <v>4</v>
      </c>
      <c r="AS118" s="6"/>
    </row>
    <row r="119" spans="1:45" ht="13.5" customHeight="1">
      <c r="A119" s="6"/>
      <c r="B119" s="21"/>
      <c r="C119" s="22" t="s">
        <v>6</v>
      </c>
      <c r="D119" s="86">
        <f t="shared" ca="1" si="3"/>
        <v>0</v>
      </c>
      <c r="E119" s="83"/>
      <c r="F119" s="82">
        <f t="shared" ca="1" si="5"/>
        <v>0</v>
      </c>
      <c r="G119" s="90"/>
      <c r="H119" s="142"/>
      <c r="I119" s="143"/>
      <c r="J119" s="144">
        <f t="shared" ca="1" si="4"/>
        <v>7.8</v>
      </c>
      <c r="K119" s="88"/>
      <c r="L119" s="91"/>
      <c r="M119" s="41"/>
      <c r="N119" s="44" t="s">
        <v>6</v>
      </c>
      <c r="O119" s="23"/>
      <c r="P119" s="24"/>
      <c r="Q119" s="24"/>
      <c r="R119" s="24"/>
      <c r="S119" s="24"/>
      <c r="T119" s="24"/>
      <c r="U119" s="24"/>
      <c r="V119" s="24"/>
      <c r="W119" s="24"/>
      <c r="X119" s="24"/>
      <c r="Y119" s="24"/>
      <c r="Z119" s="24"/>
      <c r="AA119" s="24"/>
      <c r="AB119" s="24"/>
      <c r="AC119" s="72"/>
      <c r="AD119" s="72"/>
      <c r="AE119" s="72"/>
      <c r="AF119" s="72"/>
      <c r="AG119" s="72"/>
      <c r="AH119" s="72"/>
      <c r="AI119" s="72"/>
      <c r="AJ119" s="72"/>
      <c r="AK119" s="72"/>
      <c r="AL119" s="125"/>
      <c r="AM119" s="72"/>
      <c r="AN119" s="160"/>
      <c r="AO119" s="72"/>
      <c r="AP119" s="72"/>
      <c r="AQ119" s="72">
        <v>7.8</v>
      </c>
      <c r="AR119" s="168">
        <v>0</v>
      </c>
      <c r="AS119" s="6"/>
    </row>
    <row r="120" spans="1:45" ht="13.5" customHeight="1">
      <c r="A120" s="6"/>
      <c r="B120" s="21"/>
      <c r="C120" s="22" t="s">
        <v>7</v>
      </c>
      <c r="D120" s="86">
        <f t="shared" ca="1" si="3"/>
        <v>0</v>
      </c>
      <c r="E120" s="83"/>
      <c r="F120" s="82">
        <f t="shared" ca="1" si="5"/>
        <v>0</v>
      </c>
      <c r="G120" s="90"/>
      <c r="H120" s="142"/>
      <c r="I120" s="143"/>
      <c r="J120" s="144">
        <f t="shared" ca="1" si="4"/>
        <v>4</v>
      </c>
      <c r="K120" s="88"/>
      <c r="L120" s="91"/>
      <c r="M120" s="41"/>
      <c r="N120" s="44" t="s">
        <v>7</v>
      </c>
      <c r="O120" s="23"/>
      <c r="P120" s="24"/>
      <c r="Q120" s="24"/>
      <c r="R120" s="24"/>
      <c r="S120" s="24"/>
      <c r="T120" s="24"/>
      <c r="U120" s="24"/>
      <c r="V120" s="24"/>
      <c r="W120" s="24"/>
      <c r="X120" s="24"/>
      <c r="Y120" s="24"/>
      <c r="Z120" s="24"/>
      <c r="AA120" s="24"/>
      <c r="AB120" s="24"/>
      <c r="AC120" s="72"/>
      <c r="AD120" s="72"/>
      <c r="AE120" s="72"/>
      <c r="AF120" s="72"/>
      <c r="AG120" s="72"/>
      <c r="AH120" s="72"/>
      <c r="AI120" s="72"/>
      <c r="AJ120" s="72"/>
      <c r="AK120" s="72"/>
      <c r="AL120" s="125"/>
      <c r="AM120" s="72"/>
      <c r="AN120" s="160"/>
      <c r="AO120" s="72"/>
      <c r="AP120" s="72"/>
      <c r="AQ120" s="72">
        <v>4</v>
      </c>
      <c r="AR120" s="168">
        <v>0</v>
      </c>
      <c r="AS120" s="6"/>
    </row>
    <row r="121" spans="1:45" ht="13.5" customHeight="1" thickBot="1">
      <c r="A121" s="6"/>
      <c r="B121" s="27"/>
      <c r="C121" s="28" t="s">
        <v>8</v>
      </c>
      <c r="D121" s="92">
        <f t="shared" ca="1" si="3"/>
        <v>0</v>
      </c>
      <c r="E121" s="84"/>
      <c r="F121" s="93">
        <f t="shared" ca="1" si="5"/>
        <v>0</v>
      </c>
      <c r="G121" s="94"/>
      <c r="H121" s="145"/>
      <c r="I121" s="146"/>
      <c r="J121" s="147">
        <f t="shared" ca="1" si="4"/>
        <v>2</v>
      </c>
      <c r="K121" s="95"/>
      <c r="L121" s="91"/>
      <c r="M121" s="4"/>
      <c r="N121" s="16" t="s">
        <v>8</v>
      </c>
      <c r="O121" s="29"/>
      <c r="P121" s="30"/>
      <c r="Q121" s="30"/>
      <c r="R121" s="30"/>
      <c r="S121" s="30"/>
      <c r="T121" s="30"/>
      <c r="U121" s="30"/>
      <c r="V121" s="30"/>
      <c r="W121" s="30"/>
      <c r="X121" s="30"/>
      <c r="Y121" s="30"/>
      <c r="Z121" s="30"/>
      <c r="AA121" s="30"/>
      <c r="AB121" s="30"/>
      <c r="AC121" s="74"/>
      <c r="AD121" s="74"/>
      <c r="AE121" s="74"/>
      <c r="AF121" s="74"/>
      <c r="AG121" s="74"/>
      <c r="AH121" s="74"/>
      <c r="AI121" s="74"/>
      <c r="AJ121" s="74"/>
      <c r="AK121" s="74"/>
      <c r="AL121" s="127"/>
      <c r="AM121" s="74"/>
      <c r="AN121" s="162"/>
      <c r="AO121" s="74"/>
      <c r="AP121" s="74"/>
      <c r="AQ121" s="74">
        <v>2</v>
      </c>
      <c r="AR121" s="170">
        <v>0</v>
      </c>
      <c r="AS121" s="6"/>
    </row>
    <row r="123" spans="1:45" ht="6" customHeight="1">
      <c r="A123" s="78"/>
      <c r="B123" s="6"/>
      <c r="C123" s="6"/>
      <c r="D123" s="6"/>
      <c r="E123" s="6"/>
      <c r="F123" s="6"/>
      <c r="G123" s="6"/>
      <c r="H123" s="6"/>
      <c r="I123" s="6"/>
      <c r="J123" s="6"/>
      <c r="K123" s="6"/>
      <c r="L123" s="6"/>
      <c r="M123" s="6"/>
      <c r="N123" s="6"/>
      <c r="O123" s="6"/>
      <c r="P123" s="6"/>
      <c r="Q123" s="6"/>
      <c r="R123" s="6"/>
      <c r="S123" s="6"/>
      <c r="T123" s="6"/>
      <c r="U123" s="6"/>
      <c r="V123" s="6"/>
      <c r="W123" s="6"/>
      <c r="X123" s="6"/>
      <c r="Y123" s="6"/>
      <c r="Z123" s="6"/>
      <c r="AA123" s="6"/>
      <c r="AB123" s="6"/>
      <c r="AC123" s="6"/>
      <c r="AD123" s="6"/>
      <c r="AE123" s="6"/>
      <c r="AF123" s="6"/>
      <c r="AG123" s="6"/>
      <c r="AH123" s="6"/>
      <c r="AI123" s="6"/>
      <c r="AJ123" s="6"/>
      <c r="AK123" s="6"/>
      <c r="AL123" s="6"/>
      <c r="AM123" s="6"/>
      <c r="AN123" s="6"/>
      <c r="AO123" s="6"/>
      <c r="AP123" s="6"/>
      <c r="AQ123" s="6"/>
      <c r="AR123" s="6"/>
      <c r="AS123" s="6"/>
    </row>
    <row r="124" spans="1:45" ht="24" customHeight="1">
      <c r="A124" s="6"/>
      <c r="B124" s="2000" t="s">
        <v>135</v>
      </c>
      <c r="C124" s="2000"/>
      <c r="D124" s="2000"/>
      <c r="E124" s="2000"/>
      <c r="F124" s="2000"/>
      <c r="G124" s="2000"/>
      <c r="H124" s="2000"/>
      <c r="I124" s="2000"/>
      <c r="J124" s="2000"/>
      <c r="K124" s="189"/>
      <c r="L124" s="2017">
        <f ca="1">YEAR(TODAY())</f>
        <v>2026</v>
      </c>
      <c r="M124" s="2017"/>
      <c r="N124" s="102"/>
      <c r="P124" s="49"/>
      <c r="T124" s="6"/>
      <c r="U124" s="6"/>
      <c r="V124" s="6"/>
      <c r="W124" s="6"/>
      <c r="X124" s="6"/>
      <c r="Y124" s="6"/>
      <c r="Z124" s="6"/>
      <c r="AA124" s="6"/>
      <c r="AB124" s="6"/>
      <c r="AC124" s="6"/>
      <c r="AD124" s="6"/>
      <c r="AE124" s="6"/>
      <c r="AF124" s="6"/>
      <c r="AG124" s="6"/>
      <c r="AH124" s="6"/>
      <c r="AI124" s="6"/>
      <c r="AJ124" s="6"/>
      <c r="AK124" s="6"/>
      <c r="AL124" s="6"/>
      <c r="AM124" s="2018"/>
      <c r="AN124" s="191"/>
      <c r="AO124" s="191"/>
      <c r="AP124" s="191"/>
      <c r="AQ124" s="191"/>
      <c r="AR124" s="191"/>
      <c r="AS124" s="6"/>
    </row>
    <row r="125" spans="1:45" ht="6.75" customHeight="1" thickBot="1">
      <c r="A125" s="6"/>
      <c r="B125" s="7"/>
      <c r="C125" s="6"/>
      <c r="D125" s="6"/>
      <c r="E125" s="8"/>
      <c r="F125" s="47"/>
      <c r="G125" s="47"/>
      <c r="H125" s="47"/>
      <c r="I125" s="6"/>
      <c r="J125" s="6"/>
      <c r="K125" s="47"/>
      <c r="L125" s="6"/>
      <c r="M125" s="6"/>
      <c r="N125" s="6"/>
      <c r="O125" s="6"/>
      <c r="P125" s="6"/>
      <c r="Q125" s="6"/>
      <c r="R125" s="6"/>
      <c r="S125" s="6"/>
      <c r="T125" s="6"/>
      <c r="U125" s="6"/>
      <c r="V125" s="6"/>
      <c r="W125" s="6"/>
      <c r="X125" s="6"/>
      <c r="Y125" s="6"/>
      <c r="Z125" s="6"/>
      <c r="AA125" s="6"/>
      <c r="AB125" s="6"/>
      <c r="AC125" s="6"/>
      <c r="AD125" s="6"/>
      <c r="AE125" s="6"/>
      <c r="AF125" s="6"/>
      <c r="AG125" s="6"/>
      <c r="AH125" s="6"/>
      <c r="AI125" s="6"/>
      <c r="AJ125" s="6"/>
      <c r="AK125" s="6"/>
      <c r="AL125" s="6"/>
      <c r="AM125" s="2019"/>
      <c r="AN125" s="192"/>
      <c r="AO125" s="192"/>
      <c r="AP125" s="192"/>
      <c r="AQ125" s="192"/>
      <c r="AR125" s="192"/>
      <c r="AS125" s="6"/>
    </row>
    <row r="126" spans="1:45" ht="21" customHeight="1" thickBot="1">
      <c r="A126" s="6"/>
      <c r="B126" s="9"/>
      <c r="C126" s="50"/>
      <c r="D126" s="55" t="s">
        <v>42</v>
      </c>
      <c r="E126" s="48"/>
      <c r="F126" s="56" t="s">
        <v>44</v>
      </c>
      <c r="G126" s="63"/>
      <c r="H126" s="1995" t="s">
        <v>43</v>
      </c>
      <c r="I126" s="1995"/>
      <c r="J126" s="1996"/>
      <c r="K126" s="57"/>
      <c r="L126" s="5"/>
      <c r="M126" s="5"/>
      <c r="N126" s="5"/>
      <c r="O126" s="8"/>
      <c r="P126" s="8"/>
      <c r="Q126" s="8"/>
      <c r="R126" s="8"/>
      <c r="S126" s="8"/>
      <c r="T126" s="8"/>
      <c r="U126" s="8"/>
      <c r="V126" s="8"/>
      <c r="W126" s="8"/>
      <c r="X126" s="8"/>
      <c r="Y126" s="8"/>
      <c r="Z126" s="8"/>
      <c r="AA126" s="8"/>
      <c r="AB126" s="8"/>
      <c r="AC126" s="8"/>
      <c r="AD126" s="8"/>
      <c r="AE126" s="8"/>
      <c r="AF126" s="8"/>
      <c r="AG126" s="8"/>
      <c r="AH126" s="8"/>
      <c r="AI126" s="8"/>
      <c r="AJ126" s="8"/>
      <c r="AK126" s="8"/>
      <c r="AL126" s="8"/>
      <c r="AM126" s="2020"/>
      <c r="AN126" s="130"/>
      <c r="AO126" s="130"/>
      <c r="AP126" s="130"/>
      <c r="AQ126" s="130" t="s">
        <v>133</v>
      </c>
      <c r="AR126" s="130"/>
      <c r="AS126" s="6"/>
    </row>
    <row r="127" spans="1:45" ht="13.5" customHeight="1">
      <c r="A127" s="6"/>
      <c r="B127" s="39" t="s">
        <v>138</v>
      </c>
      <c r="C127" s="47"/>
      <c r="D127" s="68">
        <f>D5</f>
        <v>2016</v>
      </c>
      <c r="E127" s="35"/>
      <c r="F127" s="1993" t="s">
        <v>41</v>
      </c>
      <c r="G127" s="64"/>
      <c r="H127" s="69">
        <f>D127-5</f>
        <v>2011</v>
      </c>
      <c r="I127" s="40" t="s">
        <v>40</v>
      </c>
      <c r="J127" s="70">
        <f>D127-1</f>
        <v>2015</v>
      </c>
      <c r="K127" s="58">
        <f>$J$5-$H$5+1</f>
        <v>5</v>
      </c>
      <c r="L127" s="190"/>
      <c r="M127" s="37"/>
      <c r="N127" s="42"/>
      <c r="O127" s="112">
        <v>1987</v>
      </c>
      <c r="P127" s="110">
        <v>1988</v>
      </c>
      <c r="Q127" s="110">
        <v>1989</v>
      </c>
      <c r="R127" s="110">
        <v>1990</v>
      </c>
      <c r="S127" s="110">
        <v>1991</v>
      </c>
      <c r="T127" s="110">
        <v>1992</v>
      </c>
      <c r="U127" s="110">
        <v>1993</v>
      </c>
      <c r="V127" s="110">
        <v>1994</v>
      </c>
      <c r="W127" s="110">
        <v>1995</v>
      </c>
      <c r="X127" s="110">
        <v>1996</v>
      </c>
      <c r="Y127" s="110">
        <v>1997</v>
      </c>
      <c r="Z127" s="110">
        <v>1998</v>
      </c>
      <c r="AA127" s="110">
        <v>1999</v>
      </c>
      <c r="AB127" s="110">
        <v>2000</v>
      </c>
      <c r="AC127" s="110">
        <v>2001</v>
      </c>
      <c r="AD127" s="110">
        <v>2002</v>
      </c>
      <c r="AE127" s="110">
        <v>2003</v>
      </c>
      <c r="AF127" s="110">
        <v>2004</v>
      </c>
      <c r="AG127" s="110">
        <v>2005</v>
      </c>
      <c r="AH127" s="110">
        <v>2006</v>
      </c>
      <c r="AI127" s="110">
        <v>2007</v>
      </c>
      <c r="AJ127" s="110">
        <v>2008</v>
      </c>
      <c r="AK127" s="110">
        <v>2009</v>
      </c>
      <c r="AL127" s="123">
        <v>2010</v>
      </c>
      <c r="AM127" s="110">
        <v>2011</v>
      </c>
      <c r="AN127" s="154">
        <v>2012</v>
      </c>
      <c r="AO127" s="110">
        <v>2013</v>
      </c>
      <c r="AP127" s="110">
        <v>2014</v>
      </c>
      <c r="AQ127" s="110">
        <v>2015</v>
      </c>
      <c r="AR127" s="111">
        <v>2016</v>
      </c>
      <c r="AS127" s="6"/>
    </row>
    <row r="128" spans="1:45" ht="13.5" customHeight="1" thickBot="1">
      <c r="A128" s="6"/>
      <c r="B128" s="13"/>
      <c r="C128" s="8"/>
      <c r="D128" s="77" t="str">
        <f t="shared" ref="D128:D182" ca="1" si="6">IF(ISBLANK($D$5),-20,OFFSET($O128,0,$D$5-1987,1,1))</f>
        <v>H28年</v>
      </c>
      <c r="E128" s="51"/>
      <c r="F128" s="1994"/>
      <c r="G128" s="65"/>
      <c r="H128" s="1997">
        <f>IF(OR(ISBLANK($H$5),ISBLANK($J$5)),"　ヶ年平均",$J$5-$H$5+1)</f>
        <v>5</v>
      </c>
      <c r="I128" s="2015"/>
      <c r="J128" s="2016"/>
      <c r="K128" s="59"/>
      <c r="L128" s="85"/>
      <c r="M128" s="38"/>
      <c r="N128" s="43"/>
      <c r="O128" s="14" t="s">
        <v>15</v>
      </c>
      <c r="P128" s="15" t="s">
        <v>16</v>
      </c>
      <c r="Q128" s="15" t="s">
        <v>17</v>
      </c>
      <c r="R128" s="15" t="s">
        <v>18</v>
      </c>
      <c r="S128" s="15" t="s">
        <v>19</v>
      </c>
      <c r="T128" s="15" t="s">
        <v>20</v>
      </c>
      <c r="U128" s="15" t="s">
        <v>21</v>
      </c>
      <c r="V128" s="15" t="s">
        <v>22</v>
      </c>
      <c r="W128" s="15" t="s">
        <v>23</v>
      </c>
      <c r="X128" s="15" t="s">
        <v>24</v>
      </c>
      <c r="Y128" s="15" t="s">
        <v>25</v>
      </c>
      <c r="Z128" s="15" t="s">
        <v>26</v>
      </c>
      <c r="AA128" s="15" t="s">
        <v>27</v>
      </c>
      <c r="AB128" s="15" t="s">
        <v>28</v>
      </c>
      <c r="AC128" s="15" t="s">
        <v>29</v>
      </c>
      <c r="AD128" s="15" t="s">
        <v>30</v>
      </c>
      <c r="AE128" s="15" t="s">
        <v>31</v>
      </c>
      <c r="AF128" s="15" t="s">
        <v>32</v>
      </c>
      <c r="AG128" s="15" t="s">
        <v>33</v>
      </c>
      <c r="AH128" s="15" t="s">
        <v>34</v>
      </c>
      <c r="AI128" s="15" t="s">
        <v>35</v>
      </c>
      <c r="AJ128" s="15" t="s">
        <v>36</v>
      </c>
      <c r="AK128" s="15" t="s">
        <v>37</v>
      </c>
      <c r="AL128" s="28" t="s">
        <v>38</v>
      </c>
      <c r="AM128" s="15" t="s">
        <v>115</v>
      </c>
      <c r="AN128" s="155" t="s">
        <v>119</v>
      </c>
      <c r="AO128" s="15" t="s">
        <v>123</v>
      </c>
      <c r="AP128" s="15" t="s">
        <v>125</v>
      </c>
      <c r="AQ128" s="15" t="s">
        <v>129</v>
      </c>
      <c r="AR128" s="16" t="s">
        <v>130</v>
      </c>
      <c r="AS128" s="6"/>
    </row>
    <row r="129" spans="1:45" ht="13.5" customHeight="1">
      <c r="A129" s="6"/>
      <c r="B129" s="21"/>
      <c r="C129" s="20" t="s">
        <v>2</v>
      </c>
      <c r="D129" s="181">
        <f t="shared" ca="1" si="6"/>
        <v>0</v>
      </c>
      <c r="E129" s="179"/>
      <c r="F129" s="79"/>
      <c r="G129" s="87"/>
      <c r="H129" s="139"/>
      <c r="I129" s="140"/>
      <c r="J129" s="141" t="e">
        <f t="shared" ref="J129:J182" ca="1" si="7">IF(OR(ISBLANK($H$5),ISBLANK($J$5)),-20,AVERAGE(OFFSET($O129,0,$H$5-1987,1,$J$5-$H$5+1)))</f>
        <v>#DIV/0!</v>
      </c>
      <c r="K129" s="113"/>
      <c r="L129" s="85"/>
      <c r="M129" s="21"/>
      <c r="N129" s="20" t="s">
        <v>2</v>
      </c>
      <c r="O129" s="117"/>
      <c r="P129" s="114"/>
      <c r="Q129" s="114"/>
      <c r="R129" s="114"/>
      <c r="S129" s="114"/>
      <c r="T129" s="114"/>
      <c r="U129" s="114"/>
      <c r="V129" s="114"/>
      <c r="W129" s="114"/>
      <c r="X129" s="114"/>
      <c r="Y129" s="114"/>
      <c r="Z129" s="114"/>
      <c r="AA129" s="114"/>
      <c r="AB129" s="114"/>
      <c r="AC129" s="114"/>
      <c r="AD129" s="114"/>
      <c r="AE129" s="114"/>
      <c r="AF129" s="114"/>
      <c r="AG129" s="114"/>
      <c r="AH129" s="114"/>
      <c r="AI129" s="114"/>
      <c r="AJ129" s="114"/>
      <c r="AK129" s="114"/>
      <c r="AL129" s="131"/>
      <c r="AM129" s="114"/>
      <c r="AN129" s="156"/>
      <c r="AO129" s="114"/>
      <c r="AP129" s="131"/>
      <c r="AQ129" s="117"/>
      <c r="AR129" s="164"/>
      <c r="AS129" s="6"/>
    </row>
    <row r="130" spans="1:45" ht="13.5" customHeight="1">
      <c r="A130" s="6"/>
      <c r="B130" s="21"/>
      <c r="C130" s="22" t="s">
        <v>3</v>
      </c>
      <c r="D130" s="182">
        <f t="shared" ca="1" si="6"/>
        <v>0</v>
      </c>
      <c r="E130" s="179"/>
      <c r="F130" s="82"/>
      <c r="G130" s="90"/>
      <c r="H130" s="142"/>
      <c r="I130" s="143"/>
      <c r="J130" s="144" t="e">
        <f t="shared" ca="1" si="7"/>
        <v>#DIV/0!</v>
      </c>
      <c r="K130" s="113"/>
      <c r="L130" s="85"/>
      <c r="M130" s="21"/>
      <c r="N130" s="22" t="s">
        <v>3</v>
      </c>
      <c r="O130" s="118"/>
      <c r="P130" s="115"/>
      <c r="Q130" s="115"/>
      <c r="R130" s="115"/>
      <c r="S130" s="115"/>
      <c r="T130" s="115"/>
      <c r="U130" s="115"/>
      <c r="V130" s="115"/>
      <c r="W130" s="115"/>
      <c r="X130" s="115"/>
      <c r="Y130" s="115"/>
      <c r="Z130" s="115"/>
      <c r="AA130" s="115"/>
      <c r="AB130" s="115"/>
      <c r="AC130" s="115"/>
      <c r="AD130" s="115"/>
      <c r="AE130" s="115"/>
      <c r="AF130" s="115"/>
      <c r="AG130" s="115"/>
      <c r="AH130" s="115"/>
      <c r="AI130" s="115"/>
      <c r="AJ130" s="115"/>
      <c r="AK130" s="115"/>
      <c r="AL130" s="132"/>
      <c r="AM130" s="115"/>
      <c r="AN130" s="157"/>
      <c r="AO130" s="115"/>
      <c r="AP130" s="132"/>
      <c r="AQ130" s="118"/>
      <c r="AR130" s="165"/>
      <c r="AS130" s="6"/>
    </row>
    <row r="131" spans="1:45" ht="13.5" customHeight="1">
      <c r="A131" s="6"/>
      <c r="B131" s="21" t="s">
        <v>114</v>
      </c>
      <c r="C131" s="22" t="s">
        <v>5</v>
      </c>
      <c r="D131" s="182">
        <f t="shared" ca="1" si="6"/>
        <v>0</v>
      </c>
      <c r="E131" s="179"/>
      <c r="F131" s="82"/>
      <c r="G131" s="90"/>
      <c r="H131" s="142"/>
      <c r="I131" s="143"/>
      <c r="J131" s="144" t="e">
        <f t="shared" ca="1" si="7"/>
        <v>#DIV/0!</v>
      </c>
      <c r="K131" s="113"/>
      <c r="L131" s="85"/>
      <c r="M131" s="21" t="s">
        <v>114</v>
      </c>
      <c r="N131" s="22" t="s">
        <v>5</v>
      </c>
      <c r="O131" s="118"/>
      <c r="P131" s="115"/>
      <c r="Q131" s="115"/>
      <c r="R131" s="115"/>
      <c r="S131" s="115"/>
      <c r="T131" s="115"/>
      <c r="U131" s="115"/>
      <c r="V131" s="115"/>
      <c r="W131" s="115"/>
      <c r="X131" s="115"/>
      <c r="Y131" s="115"/>
      <c r="Z131" s="115"/>
      <c r="AA131" s="115"/>
      <c r="AB131" s="115"/>
      <c r="AC131" s="115"/>
      <c r="AD131" s="115"/>
      <c r="AE131" s="115"/>
      <c r="AF131" s="115"/>
      <c r="AG131" s="115"/>
      <c r="AH131" s="115"/>
      <c r="AI131" s="115"/>
      <c r="AJ131" s="115"/>
      <c r="AK131" s="115"/>
      <c r="AL131" s="132"/>
      <c r="AM131" s="115"/>
      <c r="AN131" s="157"/>
      <c r="AO131" s="115"/>
      <c r="AP131" s="132"/>
      <c r="AQ131" s="118"/>
      <c r="AR131" s="165"/>
      <c r="AS131" s="6"/>
    </row>
    <row r="132" spans="1:45" ht="13.5" customHeight="1">
      <c r="A132" s="6"/>
      <c r="B132" s="21"/>
      <c r="C132" s="22" t="s">
        <v>6</v>
      </c>
      <c r="D132" s="182">
        <f t="shared" ca="1" si="6"/>
        <v>0</v>
      </c>
      <c r="E132" s="179"/>
      <c r="F132" s="82" t="e">
        <f t="shared" ref="F132:F182" ca="1" si="8">AVERAGE(OFFSET(O132,0,$L$2-1988,1,-10))</f>
        <v>#DIV/0!</v>
      </c>
      <c r="G132" s="90"/>
      <c r="H132" s="142"/>
      <c r="I132" s="143"/>
      <c r="J132" s="144">
        <f t="shared" ca="1" si="7"/>
        <v>0</v>
      </c>
      <c r="K132" s="136"/>
      <c r="L132" s="137"/>
      <c r="M132" s="21"/>
      <c r="N132" s="22" t="s">
        <v>6</v>
      </c>
      <c r="O132" s="118"/>
      <c r="P132" s="115"/>
      <c r="Q132" s="115"/>
      <c r="R132" s="115"/>
      <c r="S132" s="115"/>
      <c r="T132" s="115"/>
      <c r="U132" s="115"/>
      <c r="V132" s="115"/>
      <c r="W132" s="115"/>
      <c r="X132" s="115"/>
      <c r="Y132" s="115"/>
      <c r="Z132" s="115"/>
      <c r="AA132" s="115"/>
      <c r="AB132" s="115"/>
      <c r="AC132" s="115"/>
      <c r="AD132" s="115"/>
      <c r="AE132" s="115"/>
      <c r="AF132" s="115"/>
      <c r="AG132" s="115"/>
      <c r="AH132" s="115"/>
      <c r="AI132" s="115"/>
      <c r="AJ132" s="115"/>
      <c r="AK132" s="115"/>
      <c r="AL132" s="132"/>
      <c r="AM132" s="115"/>
      <c r="AN132" s="157"/>
      <c r="AO132" s="115"/>
      <c r="AP132" s="132"/>
      <c r="AQ132" s="118">
        <v>0</v>
      </c>
      <c r="AR132" s="165"/>
      <c r="AS132" s="6"/>
    </row>
    <row r="133" spans="1:45" ht="13.5" customHeight="1">
      <c r="A133" s="6"/>
      <c r="B133" s="21"/>
      <c r="C133" s="22" t="s">
        <v>7</v>
      </c>
      <c r="D133" s="182">
        <f t="shared" ca="1" si="6"/>
        <v>0</v>
      </c>
      <c r="E133" s="179"/>
      <c r="F133" s="82" t="e">
        <f t="shared" ca="1" si="8"/>
        <v>#DIV/0!</v>
      </c>
      <c r="G133" s="90"/>
      <c r="H133" s="142"/>
      <c r="I133" s="143"/>
      <c r="J133" s="144">
        <f t="shared" ca="1" si="7"/>
        <v>0</v>
      </c>
      <c r="K133" s="113"/>
      <c r="L133" s="85"/>
      <c r="M133" s="21"/>
      <c r="N133" s="22" t="s">
        <v>7</v>
      </c>
      <c r="O133" s="118"/>
      <c r="P133" s="115"/>
      <c r="Q133" s="115"/>
      <c r="R133" s="115"/>
      <c r="S133" s="115"/>
      <c r="T133" s="115"/>
      <c r="U133" s="115"/>
      <c r="V133" s="115"/>
      <c r="W133" s="115"/>
      <c r="X133" s="115"/>
      <c r="Y133" s="115"/>
      <c r="Z133" s="115"/>
      <c r="AA133" s="115"/>
      <c r="AB133" s="115"/>
      <c r="AC133" s="115"/>
      <c r="AD133" s="115"/>
      <c r="AE133" s="115"/>
      <c r="AF133" s="115"/>
      <c r="AG133" s="115"/>
      <c r="AH133" s="115"/>
      <c r="AI133" s="115"/>
      <c r="AJ133" s="115"/>
      <c r="AK133" s="115"/>
      <c r="AL133" s="132"/>
      <c r="AM133" s="115"/>
      <c r="AN133" s="157"/>
      <c r="AO133" s="115"/>
      <c r="AP133" s="132"/>
      <c r="AQ133" s="118">
        <v>0</v>
      </c>
      <c r="AR133" s="165"/>
      <c r="AS133" s="6"/>
    </row>
    <row r="134" spans="1:45" ht="13.5" customHeight="1" thickBot="1">
      <c r="A134" s="6"/>
      <c r="B134" s="27"/>
      <c r="C134" s="28" t="s">
        <v>8</v>
      </c>
      <c r="D134" s="183">
        <f t="shared" ca="1" si="6"/>
        <v>0</v>
      </c>
      <c r="E134" s="180"/>
      <c r="F134" s="93">
        <f t="shared" ca="1" si="8"/>
        <v>0</v>
      </c>
      <c r="G134" s="94"/>
      <c r="H134" s="145"/>
      <c r="I134" s="146"/>
      <c r="J134" s="147">
        <f t="shared" ca="1" si="7"/>
        <v>0</v>
      </c>
      <c r="K134" s="113"/>
      <c r="L134" s="85"/>
      <c r="M134" s="27"/>
      <c r="N134" s="28" t="s">
        <v>8</v>
      </c>
      <c r="O134" s="119"/>
      <c r="P134" s="116"/>
      <c r="Q134" s="116"/>
      <c r="R134" s="116"/>
      <c r="S134" s="116"/>
      <c r="T134" s="116"/>
      <c r="U134" s="116"/>
      <c r="V134" s="116"/>
      <c r="W134" s="116"/>
      <c r="X134" s="116"/>
      <c r="Y134" s="116"/>
      <c r="Z134" s="116"/>
      <c r="AA134" s="116"/>
      <c r="AB134" s="116"/>
      <c r="AC134" s="116"/>
      <c r="AD134" s="116"/>
      <c r="AE134" s="116"/>
      <c r="AF134" s="116"/>
      <c r="AG134" s="116"/>
      <c r="AH134" s="116"/>
      <c r="AI134" s="116"/>
      <c r="AJ134" s="116"/>
      <c r="AK134" s="116"/>
      <c r="AL134" s="133"/>
      <c r="AM134" s="116"/>
      <c r="AN134" s="158"/>
      <c r="AO134" s="116"/>
      <c r="AP134" s="133"/>
      <c r="AQ134" s="119">
        <v>0</v>
      </c>
      <c r="AR134" s="166">
        <v>0</v>
      </c>
      <c r="AS134" s="6"/>
    </row>
    <row r="135" spans="1:45" ht="13.5" customHeight="1">
      <c r="A135" s="6"/>
      <c r="B135" s="21"/>
      <c r="C135" s="20" t="s">
        <v>2</v>
      </c>
      <c r="D135" s="86">
        <f t="shared" ca="1" si="6"/>
        <v>12</v>
      </c>
      <c r="E135" s="83"/>
      <c r="F135" s="79">
        <f t="shared" ca="1" si="8"/>
        <v>12</v>
      </c>
      <c r="G135" s="87"/>
      <c r="H135" s="139"/>
      <c r="I135" s="140"/>
      <c r="J135" s="141">
        <f t="shared" ca="1" si="7"/>
        <v>0.83299999999999996</v>
      </c>
      <c r="K135" s="88"/>
      <c r="L135" s="89"/>
      <c r="M135" s="37"/>
      <c r="N135" s="12" t="s">
        <v>2</v>
      </c>
      <c r="O135" s="18"/>
      <c r="P135" s="19"/>
      <c r="Q135" s="19"/>
      <c r="R135" s="19"/>
      <c r="S135" s="19"/>
      <c r="T135" s="19"/>
      <c r="U135" s="19"/>
      <c r="V135" s="19"/>
      <c r="W135" s="19"/>
      <c r="X135" s="19"/>
      <c r="Y135" s="19"/>
      <c r="Z135" s="19"/>
      <c r="AA135" s="19"/>
      <c r="AB135" s="19"/>
      <c r="AC135" s="71"/>
      <c r="AD135" s="71"/>
      <c r="AE135" s="71"/>
      <c r="AF135" s="71"/>
      <c r="AG135" s="71"/>
      <c r="AH135" s="71"/>
      <c r="AI135" s="71"/>
      <c r="AJ135" s="71"/>
      <c r="AK135" s="71"/>
      <c r="AL135" s="124"/>
      <c r="AM135" s="71"/>
      <c r="AN135" s="159"/>
      <c r="AO135" s="71"/>
      <c r="AP135" s="71"/>
      <c r="AQ135" s="71">
        <v>0.83299999999999996</v>
      </c>
      <c r="AR135" s="167">
        <v>12</v>
      </c>
      <c r="AS135" s="6"/>
    </row>
    <row r="136" spans="1:45" ht="13.5" customHeight="1">
      <c r="A136" s="6"/>
      <c r="B136" s="21"/>
      <c r="C136" s="22" t="s">
        <v>3</v>
      </c>
      <c r="D136" s="86">
        <f t="shared" ca="1" si="6"/>
        <v>36.700000000000003</v>
      </c>
      <c r="E136" s="83"/>
      <c r="F136" s="82">
        <f t="shared" ca="1" si="8"/>
        <v>36.700000000000003</v>
      </c>
      <c r="G136" s="90"/>
      <c r="H136" s="142"/>
      <c r="I136" s="143"/>
      <c r="J136" s="144">
        <f t="shared" ca="1" si="7"/>
        <v>0.16700000000000001</v>
      </c>
      <c r="K136" s="88"/>
      <c r="L136" s="91"/>
      <c r="M136" s="41"/>
      <c r="N136" s="44" t="s">
        <v>3</v>
      </c>
      <c r="O136" s="23"/>
      <c r="P136" s="24"/>
      <c r="Q136" s="24"/>
      <c r="R136" s="24"/>
      <c r="S136" s="24"/>
      <c r="T136" s="24"/>
      <c r="U136" s="24"/>
      <c r="V136" s="24"/>
      <c r="W136" s="24"/>
      <c r="X136" s="24"/>
      <c r="Y136" s="24"/>
      <c r="Z136" s="24"/>
      <c r="AA136" s="24"/>
      <c r="AB136" s="24"/>
      <c r="AC136" s="72"/>
      <c r="AD136" s="72"/>
      <c r="AE136" s="72"/>
      <c r="AF136" s="72"/>
      <c r="AG136" s="72"/>
      <c r="AH136" s="72"/>
      <c r="AI136" s="72"/>
      <c r="AJ136" s="72"/>
      <c r="AK136" s="72"/>
      <c r="AL136" s="125"/>
      <c r="AM136" s="72"/>
      <c r="AN136" s="160"/>
      <c r="AO136" s="72"/>
      <c r="AP136" s="72"/>
      <c r="AQ136" s="72">
        <v>0.16700000000000001</v>
      </c>
      <c r="AR136" s="168">
        <v>36.700000000000003</v>
      </c>
      <c r="AS136" s="6"/>
    </row>
    <row r="137" spans="1:45" ht="13.5" customHeight="1">
      <c r="A137" s="6"/>
      <c r="B137" s="21" t="s">
        <v>4</v>
      </c>
      <c r="C137" s="22" t="s">
        <v>5</v>
      </c>
      <c r="D137" s="86">
        <f t="shared" ca="1" si="6"/>
        <v>66.400000000000006</v>
      </c>
      <c r="E137" s="83"/>
      <c r="F137" s="82">
        <f t="shared" ca="1" si="8"/>
        <v>66.400000000000006</v>
      </c>
      <c r="G137" s="90"/>
      <c r="H137" s="142"/>
      <c r="I137" s="143"/>
      <c r="J137" s="144">
        <f t="shared" ca="1" si="7"/>
        <v>1</v>
      </c>
      <c r="K137" s="88"/>
      <c r="L137" s="91"/>
      <c r="M137" s="41" t="s">
        <v>4</v>
      </c>
      <c r="N137" s="44" t="s">
        <v>5</v>
      </c>
      <c r="O137" s="23"/>
      <c r="P137" s="24"/>
      <c r="Q137" s="24"/>
      <c r="R137" s="24"/>
      <c r="S137" s="24"/>
      <c r="T137" s="24"/>
      <c r="U137" s="24"/>
      <c r="V137" s="24"/>
      <c r="W137" s="24"/>
      <c r="X137" s="24"/>
      <c r="Y137" s="24"/>
      <c r="Z137" s="24"/>
      <c r="AA137" s="24"/>
      <c r="AB137" s="24"/>
      <c r="AC137" s="72"/>
      <c r="AD137" s="72"/>
      <c r="AE137" s="72"/>
      <c r="AF137" s="72"/>
      <c r="AG137" s="72"/>
      <c r="AH137" s="72"/>
      <c r="AI137" s="72"/>
      <c r="AJ137" s="72"/>
      <c r="AK137" s="72"/>
      <c r="AL137" s="125"/>
      <c r="AM137" s="72"/>
      <c r="AN137" s="193"/>
      <c r="AO137" s="177"/>
      <c r="AP137" s="177"/>
      <c r="AQ137" s="177">
        <v>1</v>
      </c>
      <c r="AR137" s="173">
        <v>66.400000000000006</v>
      </c>
      <c r="AS137" s="6"/>
    </row>
    <row r="138" spans="1:45" ht="13.5" customHeight="1">
      <c r="A138" s="6"/>
      <c r="B138" s="21"/>
      <c r="C138" s="22" t="s">
        <v>6</v>
      </c>
      <c r="D138" s="86">
        <f t="shared" ca="1" si="6"/>
        <v>55.2</v>
      </c>
      <c r="E138" s="83"/>
      <c r="F138" s="82">
        <f t="shared" ca="1" si="8"/>
        <v>55.2</v>
      </c>
      <c r="G138" s="90"/>
      <c r="H138" s="142"/>
      <c r="I138" s="143"/>
      <c r="J138" s="144">
        <f t="shared" ca="1" si="7"/>
        <v>19</v>
      </c>
      <c r="K138" s="88"/>
      <c r="L138" s="91"/>
      <c r="M138" s="41"/>
      <c r="N138" s="44" t="s">
        <v>6</v>
      </c>
      <c r="O138" s="23"/>
      <c r="P138" s="24"/>
      <c r="Q138" s="24"/>
      <c r="R138" s="24"/>
      <c r="S138" s="24"/>
      <c r="T138" s="24"/>
      <c r="U138" s="24"/>
      <c r="V138" s="24"/>
      <c r="W138" s="24"/>
      <c r="X138" s="24"/>
      <c r="Y138" s="24"/>
      <c r="Z138" s="24"/>
      <c r="AA138" s="24"/>
      <c r="AB138" s="24"/>
      <c r="AC138" s="72"/>
      <c r="AD138" s="72"/>
      <c r="AE138" s="72"/>
      <c r="AF138" s="73"/>
      <c r="AG138" s="73"/>
      <c r="AH138" s="73"/>
      <c r="AI138" s="73"/>
      <c r="AJ138" s="73"/>
      <c r="AK138" s="73"/>
      <c r="AL138" s="126"/>
      <c r="AM138" s="73"/>
      <c r="AN138" s="161"/>
      <c r="AO138" s="73"/>
      <c r="AP138" s="73"/>
      <c r="AQ138" s="73">
        <v>19</v>
      </c>
      <c r="AR138" s="169">
        <v>55.2</v>
      </c>
      <c r="AS138" s="6"/>
    </row>
    <row r="139" spans="1:45" ht="13.5" customHeight="1">
      <c r="A139" s="6"/>
      <c r="B139" s="21"/>
      <c r="C139" s="22" t="s">
        <v>7</v>
      </c>
      <c r="D139" s="86">
        <f t="shared" ca="1" si="6"/>
        <v>26.1</v>
      </c>
      <c r="E139" s="83"/>
      <c r="F139" s="82">
        <f t="shared" ca="1" si="8"/>
        <v>26.1</v>
      </c>
      <c r="G139" s="90"/>
      <c r="H139" s="142"/>
      <c r="I139" s="143"/>
      <c r="J139" s="144">
        <f t="shared" ca="1" si="7"/>
        <v>11.17</v>
      </c>
      <c r="K139" s="88"/>
      <c r="L139" s="91"/>
      <c r="M139" s="41"/>
      <c r="N139" s="44" t="s">
        <v>7</v>
      </c>
      <c r="O139" s="23"/>
      <c r="P139" s="24"/>
      <c r="Q139" s="24"/>
      <c r="R139" s="24"/>
      <c r="S139" s="24"/>
      <c r="T139" s="24"/>
      <c r="U139" s="24"/>
      <c r="V139" s="24"/>
      <c r="W139" s="24"/>
      <c r="X139" s="24"/>
      <c r="Y139" s="24"/>
      <c r="Z139" s="24"/>
      <c r="AA139" s="24"/>
      <c r="AB139" s="24"/>
      <c r="AC139" s="72"/>
      <c r="AD139" s="72"/>
      <c r="AE139" s="72"/>
      <c r="AF139" s="72"/>
      <c r="AG139" s="72"/>
      <c r="AH139" s="72"/>
      <c r="AI139" s="72"/>
      <c r="AJ139" s="72"/>
      <c r="AK139" s="72"/>
      <c r="AL139" s="125"/>
      <c r="AM139" s="72"/>
      <c r="AN139" s="160"/>
      <c r="AO139" s="72"/>
      <c r="AP139" s="72"/>
      <c r="AQ139" s="72">
        <v>11.17</v>
      </c>
      <c r="AR139" s="168">
        <v>26.1</v>
      </c>
      <c r="AS139" s="6"/>
    </row>
    <row r="140" spans="1:45" ht="13.5" customHeight="1" thickBot="1">
      <c r="A140" s="6"/>
      <c r="B140" s="27"/>
      <c r="C140" s="28" t="s">
        <v>8</v>
      </c>
      <c r="D140" s="92">
        <f t="shared" ca="1" si="6"/>
        <v>18.600000000000001</v>
      </c>
      <c r="E140" s="84"/>
      <c r="F140" s="93">
        <f t="shared" ca="1" si="8"/>
        <v>18.600000000000001</v>
      </c>
      <c r="G140" s="94"/>
      <c r="H140" s="145"/>
      <c r="I140" s="146"/>
      <c r="J140" s="147">
        <f t="shared" ca="1" si="7"/>
        <v>30.83</v>
      </c>
      <c r="K140" s="95"/>
      <c r="L140" s="91"/>
      <c r="M140" s="4"/>
      <c r="N140" s="16" t="s">
        <v>8</v>
      </c>
      <c r="O140" s="29"/>
      <c r="P140" s="30"/>
      <c r="Q140" s="30"/>
      <c r="R140" s="30"/>
      <c r="S140" s="30"/>
      <c r="T140" s="30"/>
      <c r="U140" s="30"/>
      <c r="V140" s="30"/>
      <c r="W140" s="30"/>
      <c r="X140" s="30"/>
      <c r="Y140" s="30"/>
      <c r="Z140" s="30"/>
      <c r="AA140" s="30"/>
      <c r="AB140" s="30"/>
      <c r="AC140" s="74"/>
      <c r="AD140" s="74"/>
      <c r="AE140" s="74"/>
      <c r="AF140" s="74"/>
      <c r="AG140" s="74"/>
      <c r="AH140" s="74"/>
      <c r="AI140" s="74"/>
      <c r="AJ140" s="74"/>
      <c r="AK140" s="74"/>
      <c r="AL140" s="127"/>
      <c r="AM140" s="74"/>
      <c r="AN140" s="162"/>
      <c r="AO140" s="74"/>
      <c r="AP140" s="74"/>
      <c r="AQ140" s="74">
        <v>30.83</v>
      </c>
      <c r="AR140" s="170">
        <v>18.600000000000001</v>
      </c>
      <c r="AS140" s="6"/>
    </row>
    <row r="141" spans="1:45" ht="13.5" customHeight="1">
      <c r="A141" s="6"/>
      <c r="B141" s="17"/>
      <c r="C141" s="20" t="s">
        <v>2</v>
      </c>
      <c r="D141" s="86">
        <f t="shared" ca="1" si="6"/>
        <v>22.7</v>
      </c>
      <c r="E141" s="83"/>
      <c r="F141" s="82">
        <f t="shared" ca="1" si="8"/>
        <v>22.7</v>
      </c>
      <c r="G141" s="90"/>
      <c r="H141" s="139"/>
      <c r="I141" s="140"/>
      <c r="J141" s="141">
        <f t="shared" ca="1" si="7"/>
        <v>102.5</v>
      </c>
      <c r="K141" s="88"/>
      <c r="L141" s="91"/>
      <c r="M141" s="37"/>
      <c r="N141" s="45" t="s">
        <v>2</v>
      </c>
      <c r="O141" s="31"/>
      <c r="P141" s="32"/>
      <c r="Q141" s="32"/>
      <c r="R141" s="32"/>
      <c r="S141" s="32"/>
      <c r="T141" s="32"/>
      <c r="U141" s="32"/>
      <c r="V141" s="32"/>
      <c r="W141" s="32"/>
      <c r="X141" s="32"/>
      <c r="Y141" s="32"/>
      <c r="Z141" s="32"/>
      <c r="AA141" s="32"/>
      <c r="AB141" s="32"/>
      <c r="AC141" s="75"/>
      <c r="AD141" s="75"/>
      <c r="AE141" s="75"/>
      <c r="AF141" s="75"/>
      <c r="AG141" s="75"/>
      <c r="AH141" s="75"/>
      <c r="AI141" s="75"/>
      <c r="AJ141" s="75"/>
      <c r="AK141" s="75"/>
      <c r="AL141" s="128"/>
      <c r="AM141" s="75"/>
      <c r="AN141" s="163"/>
      <c r="AO141" s="75"/>
      <c r="AP141" s="75"/>
      <c r="AQ141" s="75">
        <v>102.5</v>
      </c>
      <c r="AR141" s="171">
        <v>22.7</v>
      </c>
      <c r="AS141" s="6"/>
    </row>
    <row r="142" spans="1:45" ht="13.5" customHeight="1">
      <c r="A142" s="6"/>
      <c r="B142" s="21"/>
      <c r="C142" s="22" t="s">
        <v>3</v>
      </c>
      <c r="D142" s="86">
        <f t="shared" ca="1" si="6"/>
        <v>14.1</v>
      </c>
      <c r="E142" s="83"/>
      <c r="F142" s="82">
        <f t="shared" ca="1" si="8"/>
        <v>14.1</v>
      </c>
      <c r="G142" s="90"/>
      <c r="H142" s="142"/>
      <c r="I142" s="143"/>
      <c r="J142" s="144">
        <f t="shared" ca="1" si="7"/>
        <v>160.5</v>
      </c>
      <c r="K142" s="88"/>
      <c r="L142" s="91"/>
      <c r="M142" s="41"/>
      <c r="N142" s="44" t="s">
        <v>3</v>
      </c>
      <c r="O142" s="23"/>
      <c r="P142" s="24"/>
      <c r="Q142" s="24"/>
      <c r="R142" s="24"/>
      <c r="S142" s="24"/>
      <c r="T142" s="24"/>
      <c r="U142" s="24"/>
      <c r="V142" s="24"/>
      <c r="W142" s="24"/>
      <c r="X142" s="24"/>
      <c r="Y142" s="24"/>
      <c r="Z142" s="24"/>
      <c r="AA142" s="24"/>
      <c r="AB142" s="24"/>
      <c r="AC142" s="72"/>
      <c r="AD142" s="72"/>
      <c r="AE142" s="72"/>
      <c r="AF142" s="72"/>
      <c r="AG142" s="72"/>
      <c r="AH142" s="72"/>
      <c r="AI142" s="72"/>
      <c r="AJ142" s="72"/>
      <c r="AK142" s="72"/>
      <c r="AL142" s="125"/>
      <c r="AM142" s="72"/>
      <c r="AN142" s="160"/>
      <c r="AO142" s="72"/>
      <c r="AP142" s="72"/>
      <c r="AQ142" s="72">
        <v>160.5</v>
      </c>
      <c r="AR142" s="168">
        <v>14.1</v>
      </c>
      <c r="AS142" s="6"/>
    </row>
    <row r="143" spans="1:45" ht="13.5" customHeight="1">
      <c r="A143" s="6"/>
      <c r="B143" s="21" t="s">
        <v>39</v>
      </c>
      <c r="C143" s="22" t="s">
        <v>5</v>
      </c>
      <c r="D143" s="86">
        <f t="shared" ca="1" si="6"/>
        <v>25.7</v>
      </c>
      <c r="E143" s="83"/>
      <c r="F143" s="82">
        <f t="shared" ca="1" si="8"/>
        <v>25.7</v>
      </c>
      <c r="G143" s="90"/>
      <c r="H143" s="142"/>
      <c r="I143" s="143"/>
      <c r="J143" s="144">
        <f t="shared" ca="1" si="7"/>
        <v>131</v>
      </c>
      <c r="K143" s="88"/>
      <c r="L143" s="91"/>
      <c r="M143" s="41" t="s">
        <v>39</v>
      </c>
      <c r="N143" s="44" t="s">
        <v>5</v>
      </c>
      <c r="O143" s="23"/>
      <c r="P143" s="24"/>
      <c r="Q143" s="24"/>
      <c r="R143" s="24"/>
      <c r="S143" s="24"/>
      <c r="T143" s="24"/>
      <c r="U143" s="24"/>
      <c r="V143" s="24"/>
      <c r="W143" s="24"/>
      <c r="X143" s="24"/>
      <c r="Y143" s="24"/>
      <c r="Z143" s="24"/>
      <c r="AA143" s="24"/>
      <c r="AB143" s="24"/>
      <c r="AC143" s="72"/>
      <c r="AD143" s="72"/>
      <c r="AE143" s="72"/>
      <c r="AF143" s="72"/>
      <c r="AG143" s="72"/>
      <c r="AH143" s="72"/>
      <c r="AI143" s="72"/>
      <c r="AJ143" s="72"/>
      <c r="AK143" s="72"/>
      <c r="AL143" s="125"/>
      <c r="AM143" s="72"/>
      <c r="AN143" s="160"/>
      <c r="AO143" s="72"/>
      <c r="AP143" s="72"/>
      <c r="AQ143" s="72">
        <v>131</v>
      </c>
      <c r="AR143" s="168">
        <v>25.7</v>
      </c>
      <c r="AS143" s="6"/>
    </row>
    <row r="144" spans="1:45" ht="13.5" customHeight="1">
      <c r="A144" s="6"/>
      <c r="B144" s="21"/>
      <c r="C144" s="22" t="s">
        <v>6</v>
      </c>
      <c r="D144" s="86">
        <f t="shared" ca="1" si="6"/>
        <v>31.1</v>
      </c>
      <c r="E144" s="83"/>
      <c r="F144" s="82">
        <f t="shared" ca="1" si="8"/>
        <v>31.1</v>
      </c>
      <c r="G144" s="90"/>
      <c r="H144" s="142"/>
      <c r="I144" s="143"/>
      <c r="J144" s="144">
        <f t="shared" ca="1" si="7"/>
        <v>27</v>
      </c>
      <c r="K144" s="88"/>
      <c r="L144" s="91"/>
      <c r="M144" s="41"/>
      <c r="N144" s="44" t="s">
        <v>6</v>
      </c>
      <c r="O144" s="23"/>
      <c r="P144" s="24"/>
      <c r="Q144" s="24"/>
      <c r="R144" s="24"/>
      <c r="S144" s="24"/>
      <c r="T144" s="24"/>
      <c r="U144" s="24"/>
      <c r="V144" s="24"/>
      <c r="W144" s="24"/>
      <c r="X144" s="24"/>
      <c r="Y144" s="24"/>
      <c r="Z144" s="24"/>
      <c r="AA144" s="24"/>
      <c r="AB144" s="24"/>
      <c r="AC144" s="72"/>
      <c r="AD144" s="72"/>
      <c r="AE144" s="72"/>
      <c r="AF144" s="72"/>
      <c r="AG144" s="72"/>
      <c r="AH144" s="72"/>
      <c r="AI144" s="72"/>
      <c r="AJ144" s="72"/>
      <c r="AK144" s="72"/>
      <c r="AL144" s="125"/>
      <c r="AM144" s="72"/>
      <c r="AN144" s="160"/>
      <c r="AO144" s="72"/>
      <c r="AP144" s="72"/>
      <c r="AQ144" s="72">
        <v>27</v>
      </c>
      <c r="AR144" s="168">
        <v>31.1</v>
      </c>
      <c r="AS144" s="6"/>
    </row>
    <row r="145" spans="1:45" ht="13.5" customHeight="1">
      <c r="A145" s="6"/>
      <c r="B145" s="21"/>
      <c r="C145" s="22" t="s">
        <v>7</v>
      </c>
      <c r="D145" s="86">
        <f t="shared" ca="1" si="6"/>
        <v>10</v>
      </c>
      <c r="E145" s="83"/>
      <c r="F145" s="82">
        <f t="shared" ca="1" si="8"/>
        <v>10</v>
      </c>
      <c r="G145" s="90"/>
      <c r="H145" s="142"/>
      <c r="I145" s="143"/>
      <c r="J145" s="144">
        <f t="shared" ca="1" si="7"/>
        <v>42</v>
      </c>
      <c r="K145" s="88"/>
      <c r="L145" s="91"/>
      <c r="M145" s="41"/>
      <c r="N145" s="44" t="s">
        <v>7</v>
      </c>
      <c r="O145" s="23"/>
      <c r="P145" s="24"/>
      <c r="Q145" s="24"/>
      <c r="R145" s="24"/>
      <c r="S145" s="24"/>
      <c r="T145" s="24"/>
      <c r="U145" s="24"/>
      <c r="V145" s="24"/>
      <c r="W145" s="24"/>
      <c r="X145" s="24"/>
      <c r="Y145" s="24"/>
      <c r="Z145" s="24"/>
      <c r="AA145" s="24"/>
      <c r="AB145" s="24"/>
      <c r="AC145" s="72"/>
      <c r="AD145" s="72"/>
      <c r="AE145" s="72"/>
      <c r="AF145" s="72"/>
      <c r="AG145" s="72"/>
      <c r="AH145" s="72"/>
      <c r="AI145" s="72"/>
      <c r="AJ145" s="72"/>
      <c r="AK145" s="72"/>
      <c r="AL145" s="125"/>
      <c r="AM145" s="72"/>
      <c r="AN145" s="160"/>
      <c r="AO145" s="72"/>
      <c r="AP145" s="72"/>
      <c r="AQ145" s="72">
        <v>42</v>
      </c>
      <c r="AR145" s="168">
        <v>10</v>
      </c>
      <c r="AS145" s="6"/>
    </row>
    <row r="146" spans="1:45" ht="13.5" customHeight="1" thickBot="1">
      <c r="A146" s="6"/>
      <c r="B146" s="27"/>
      <c r="C146" s="33" t="s">
        <v>8</v>
      </c>
      <c r="D146" s="92">
        <f t="shared" ca="1" si="6"/>
        <v>37.200000000000003</v>
      </c>
      <c r="E146" s="84"/>
      <c r="F146" s="96">
        <f t="shared" ca="1" si="8"/>
        <v>37.200000000000003</v>
      </c>
      <c r="G146" s="94"/>
      <c r="H146" s="145"/>
      <c r="I146" s="146"/>
      <c r="J146" s="147">
        <f t="shared" ca="1" si="7"/>
        <v>25</v>
      </c>
      <c r="K146" s="95"/>
      <c r="L146" s="91"/>
      <c r="M146" s="4"/>
      <c r="N146" s="46" t="s">
        <v>8</v>
      </c>
      <c r="O146" s="34"/>
      <c r="P146" s="35"/>
      <c r="Q146" s="35"/>
      <c r="R146" s="35"/>
      <c r="S146" s="35"/>
      <c r="T146" s="35"/>
      <c r="U146" s="35"/>
      <c r="V146" s="35"/>
      <c r="W146" s="35"/>
      <c r="X146" s="35"/>
      <c r="Y146" s="35"/>
      <c r="Z146" s="35"/>
      <c r="AA146" s="35"/>
      <c r="AB146" s="35"/>
      <c r="AC146" s="76"/>
      <c r="AD146" s="76"/>
      <c r="AE146" s="76"/>
      <c r="AF146" s="76"/>
      <c r="AG146" s="76"/>
      <c r="AH146" s="76"/>
      <c r="AI146" s="76"/>
      <c r="AJ146" s="76"/>
      <c r="AK146" s="76"/>
      <c r="AL146" s="129"/>
      <c r="AM146" s="76"/>
      <c r="AN146" s="153"/>
      <c r="AO146" s="76"/>
      <c r="AP146" s="76"/>
      <c r="AQ146" s="76">
        <v>25</v>
      </c>
      <c r="AR146" s="172">
        <v>37.200000000000003</v>
      </c>
      <c r="AS146" s="6"/>
    </row>
    <row r="147" spans="1:45" ht="13.5" customHeight="1">
      <c r="A147" s="6"/>
      <c r="B147" s="21"/>
      <c r="C147" s="10" t="s">
        <v>2</v>
      </c>
      <c r="D147" s="86">
        <f t="shared" ca="1" si="6"/>
        <v>35.799999999999997</v>
      </c>
      <c r="E147" s="83"/>
      <c r="F147" s="80">
        <f t="shared" ca="1" si="8"/>
        <v>35.799999999999997</v>
      </c>
      <c r="G147" s="90"/>
      <c r="H147" s="139"/>
      <c r="I147" s="140"/>
      <c r="J147" s="141">
        <f t="shared" ca="1" si="7"/>
        <v>41</v>
      </c>
      <c r="K147" s="88"/>
      <c r="L147" s="91"/>
      <c r="M147" s="41"/>
      <c r="N147" s="12" t="s">
        <v>2</v>
      </c>
      <c r="O147" s="18"/>
      <c r="P147" s="19"/>
      <c r="Q147" s="19"/>
      <c r="R147" s="19"/>
      <c r="S147" s="19"/>
      <c r="T147" s="19"/>
      <c r="U147" s="19"/>
      <c r="V147" s="19"/>
      <c r="W147" s="19"/>
      <c r="X147" s="19"/>
      <c r="Y147" s="19"/>
      <c r="Z147" s="19"/>
      <c r="AA147" s="19"/>
      <c r="AB147" s="19"/>
      <c r="AC147" s="71"/>
      <c r="AD147" s="71"/>
      <c r="AE147" s="71"/>
      <c r="AF147" s="71"/>
      <c r="AG147" s="71"/>
      <c r="AH147" s="71"/>
      <c r="AI147" s="71"/>
      <c r="AJ147" s="71"/>
      <c r="AK147" s="71"/>
      <c r="AL147" s="124"/>
      <c r="AM147" s="71"/>
      <c r="AN147" s="159"/>
      <c r="AO147" s="71"/>
      <c r="AP147" s="71"/>
      <c r="AQ147" s="71">
        <v>41</v>
      </c>
      <c r="AR147" s="167">
        <v>35.799999999999997</v>
      </c>
      <c r="AS147" s="6"/>
    </row>
    <row r="148" spans="1:45" ht="13.5" customHeight="1">
      <c r="A148" s="6"/>
      <c r="B148" s="21"/>
      <c r="C148" s="22" t="s">
        <v>3</v>
      </c>
      <c r="D148" s="86">
        <f t="shared" ca="1" si="6"/>
        <v>10</v>
      </c>
      <c r="E148" s="83"/>
      <c r="F148" s="82">
        <f t="shared" ca="1" si="8"/>
        <v>10</v>
      </c>
      <c r="G148" s="90"/>
      <c r="H148" s="142"/>
      <c r="I148" s="143"/>
      <c r="J148" s="144">
        <f t="shared" ca="1" si="7"/>
        <v>5</v>
      </c>
      <c r="K148" s="88"/>
      <c r="L148" s="91"/>
      <c r="M148" s="41"/>
      <c r="N148" s="44" t="s">
        <v>3</v>
      </c>
      <c r="O148" s="23"/>
      <c r="P148" s="24"/>
      <c r="Q148" s="24"/>
      <c r="R148" s="24"/>
      <c r="S148" s="24"/>
      <c r="T148" s="24"/>
      <c r="U148" s="24"/>
      <c r="V148" s="24"/>
      <c r="W148" s="24"/>
      <c r="X148" s="24"/>
      <c r="Y148" s="24"/>
      <c r="Z148" s="24"/>
      <c r="AA148" s="24"/>
      <c r="AB148" s="24"/>
      <c r="AC148" s="72"/>
      <c r="AD148" s="72"/>
      <c r="AE148" s="72"/>
      <c r="AF148" s="72"/>
      <c r="AG148" s="72"/>
      <c r="AH148" s="72"/>
      <c r="AI148" s="72"/>
      <c r="AJ148" s="72"/>
      <c r="AK148" s="72"/>
      <c r="AL148" s="125"/>
      <c r="AM148" s="72"/>
      <c r="AN148" s="160"/>
      <c r="AO148" s="72"/>
      <c r="AP148" s="72"/>
      <c r="AQ148" s="72">
        <v>5</v>
      </c>
      <c r="AR148" s="168">
        <v>10</v>
      </c>
      <c r="AS148" s="6"/>
    </row>
    <row r="149" spans="1:45" ht="13.5" customHeight="1">
      <c r="A149" s="6"/>
      <c r="B149" s="21" t="s">
        <v>9</v>
      </c>
      <c r="C149" s="22" t="s">
        <v>5</v>
      </c>
      <c r="D149" s="86">
        <f t="shared" ca="1" si="6"/>
        <v>29.8</v>
      </c>
      <c r="E149" s="83"/>
      <c r="F149" s="82">
        <f t="shared" ca="1" si="8"/>
        <v>29.8</v>
      </c>
      <c r="G149" s="90"/>
      <c r="H149" s="142"/>
      <c r="I149" s="143"/>
      <c r="J149" s="144">
        <f t="shared" ca="1" si="7"/>
        <v>48</v>
      </c>
      <c r="K149" s="88"/>
      <c r="L149" s="91"/>
      <c r="M149" s="41" t="s">
        <v>9</v>
      </c>
      <c r="N149" s="44" t="s">
        <v>5</v>
      </c>
      <c r="O149" s="23"/>
      <c r="P149" s="24"/>
      <c r="Q149" s="24"/>
      <c r="R149" s="24"/>
      <c r="S149" s="24"/>
      <c r="T149" s="24"/>
      <c r="U149" s="24"/>
      <c r="V149" s="24"/>
      <c r="W149" s="24"/>
      <c r="X149" s="24"/>
      <c r="Y149" s="24"/>
      <c r="Z149" s="24"/>
      <c r="AA149" s="24"/>
      <c r="AB149" s="24"/>
      <c r="AC149" s="72"/>
      <c r="AD149" s="72"/>
      <c r="AE149" s="72"/>
      <c r="AF149" s="72"/>
      <c r="AG149" s="72"/>
      <c r="AH149" s="72"/>
      <c r="AI149" s="72"/>
      <c r="AJ149" s="72"/>
      <c r="AK149" s="72"/>
      <c r="AL149" s="125"/>
      <c r="AM149" s="72"/>
      <c r="AN149" s="160"/>
      <c r="AO149" s="72"/>
      <c r="AP149" s="72"/>
      <c r="AQ149" s="72">
        <v>48</v>
      </c>
      <c r="AR149" s="168">
        <v>29.8</v>
      </c>
      <c r="AS149" s="6"/>
    </row>
    <row r="150" spans="1:45" ht="13.5" customHeight="1">
      <c r="A150" s="6"/>
      <c r="B150" s="21"/>
      <c r="C150" s="22" t="s">
        <v>6</v>
      </c>
      <c r="D150" s="86">
        <f t="shared" ca="1" si="6"/>
        <v>96.5</v>
      </c>
      <c r="E150" s="83"/>
      <c r="F150" s="82">
        <f t="shared" ca="1" si="8"/>
        <v>96.5</v>
      </c>
      <c r="G150" s="90"/>
      <c r="H150" s="142"/>
      <c r="I150" s="143"/>
      <c r="J150" s="144">
        <f t="shared" ca="1" si="7"/>
        <v>141.69999999999999</v>
      </c>
      <c r="K150" s="88"/>
      <c r="L150" s="91"/>
      <c r="M150" s="41"/>
      <c r="N150" s="44" t="s">
        <v>6</v>
      </c>
      <c r="O150" s="23"/>
      <c r="P150" s="24"/>
      <c r="Q150" s="24"/>
      <c r="R150" s="24"/>
      <c r="S150" s="24"/>
      <c r="T150" s="24"/>
      <c r="U150" s="24"/>
      <c r="V150" s="24"/>
      <c r="W150" s="24"/>
      <c r="X150" s="24"/>
      <c r="Y150" s="24"/>
      <c r="Z150" s="24"/>
      <c r="AA150" s="24"/>
      <c r="AB150" s="24"/>
      <c r="AC150" s="72"/>
      <c r="AD150" s="72"/>
      <c r="AE150" s="72"/>
      <c r="AF150" s="72"/>
      <c r="AG150" s="72"/>
      <c r="AH150" s="72"/>
      <c r="AI150" s="72"/>
      <c r="AJ150" s="72"/>
      <c r="AK150" s="72"/>
      <c r="AL150" s="125"/>
      <c r="AM150" s="72"/>
      <c r="AN150" s="160"/>
      <c r="AO150" s="72"/>
      <c r="AP150" s="72"/>
      <c r="AQ150" s="72">
        <v>141.69999999999999</v>
      </c>
      <c r="AR150" s="168">
        <v>96.5</v>
      </c>
      <c r="AS150" s="6"/>
    </row>
    <row r="151" spans="1:45" ht="13.5" customHeight="1">
      <c r="A151" s="6"/>
      <c r="B151" s="21"/>
      <c r="C151" s="22" t="s">
        <v>7</v>
      </c>
      <c r="D151" s="86">
        <f t="shared" ca="1" si="6"/>
        <v>120.8</v>
      </c>
      <c r="E151" s="83"/>
      <c r="F151" s="82">
        <f t="shared" ca="1" si="8"/>
        <v>120.8</v>
      </c>
      <c r="G151" s="90"/>
      <c r="H151" s="142"/>
      <c r="I151" s="143"/>
      <c r="J151" s="144">
        <f t="shared" ca="1" si="7"/>
        <v>48.3</v>
      </c>
      <c r="K151" s="88"/>
      <c r="L151" s="91"/>
      <c r="M151" s="41"/>
      <c r="N151" s="44" t="s">
        <v>7</v>
      </c>
      <c r="O151" s="23"/>
      <c r="P151" s="24"/>
      <c r="Q151" s="24"/>
      <c r="R151" s="24"/>
      <c r="S151" s="24"/>
      <c r="T151" s="24"/>
      <c r="U151" s="24"/>
      <c r="V151" s="24"/>
      <c r="W151" s="24"/>
      <c r="X151" s="24"/>
      <c r="Y151" s="24"/>
      <c r="Z151" s="24"/>
      <c r="AA151" s="24"/>
      <c r="AB151" s="24"/>
      <c r="AC151" s="72"/>
      <c r="AD151" s="72"/>
      <c r="AE151" s="72"/>
      <c r="AF151" s="72"/>
      <c r="AG151" s="72"/>
      <c r="AH151" s="72"/>
      <c r="AI151" s="72"/>
      <c r="AJ151" s="72"/>
      <c r="AK151" s="72"/>
      <c r="AL151" s="125"/>
      <c r="AM151" s="72"/>
      <c r="AN151" s="160"/>
      <c r="AO151" s="72"/>
      <c r="AP151" s="72"/>
      <c r="AQ151" s="72">
        <v>48.3</v>
      </c>
      <c r="AR151" s="168">
        <v>120.8</v>
      </c>
      <c r="AS151" s="6"/>
    </row>
    <row r="152" spans="1:45" ht="13.5" customHeight="1" thickBot="1">
      <c r="A152" s="6"/>
      <c r="B152" s="21"/>
      <c r="C152" s="28" t="s">
        <v>8</v>
      </c>
      <c r="D152" s="92">
        <f t="shared" ca="1" si="6"/>
        <v>95.6</v>
      </c>
      <c r="E152" s="84"/>
      <c r="F152" s="93">
        <f t="shared" ca="1" si="8"/>
        <v>95.6</v>
      </c>
      <c r="G152" s="94"/>
      <c r="H152" s="145"/>
      <c r="I152" s="146"/>
      <c r="J152" s="147">
        <f t="shared" ca="1" si="7"/>
        <v>93</v>
      </c>
      <c r="K152" s="95"/>
      <c r="L152" s="91"/>
      <c r="M152" s="41"/>
      <c r="N152" s="16" t="s">
        <v>8</v>
      </c>
      <c r="O152" s="29"/>
      <c r="P152" s="30"/>
      <c r="Q152" s="30"/>
      <c r="R152" s="30"/>
      <c r="S152" s="30"/>
      <c r="T152" s="30"/>
      <c r="U152" s="30"/>
      <c r="V152" s="30"/>
      <c r="W152" s="30"/>
      <c r="X152" s="30"/>
      <c r="Y152" s="30"/>
      <c r="Z152" s="30"/>
      <c r="AA152" s="30"/>
      <c r="AB152" s="30"/>
      <c r="AC152" s="74"/>
      <c r="AD152" s="74"/>
      <c r="AE152" s="74"/>
      <c r="AF152" s="74"/>
      <c r="AG152" s="74"/>
      <c r="AH152" s="74"/>
      <c r="AI152" s="74"/>
      <c r="AJ152" s="74"/>
      <c r="AK152" s="74"/>
      <c r="AL152" s="127"/>
      <c r="AM152" s="74"/>
      <c r="AN152" s="162"/>
      <c r="AO152" s="74"/>
      <c r="AP152" s="74"/>
      <c r="AQ152" s="74">
        <v>93</v>
      </c>
      <c r="AR152" s="170">
        <v>95.6</v>
      </c>
      <c r="AS152" s="6"/>
    </row>
    <row r="153" spans="1:45" ht="13.5" customHeight="1">
      <c r="A153" s="6"/>
      <c r="B153" s="17"/>
      <c r="C153" s="10" t="s">
        <v>2</v>
      </c>
      <c r="D153" s="86">
        <f t="shared" ca="1" si="6"/>
        <v>35.1</v>
      </c>
      <c r="E153" s="83"/>
      <c r="F153" s="82">
        <f t="shared" ca="1" si="8"/>
        <v>35.1</v>
      </c>
      <c r="G153" s="90"/>
      <c r="H153" s="139"/>
      <c r="I153" s="140"/>
      <c r="J153" s="141">
        <f t="shared" ca="1" si="7"/>
        <v>5</v>
      </c>
      <c r="K153" s="88"/>
      <c r="L153" s="91"/>
      <c r="M153" s="37"/>
      <c r="N153" s="12" t="s">
        <v>2</v>
      </c>
      <c r="O153" s="31"/>
      <c r="P153" s="32"/>
      <c r="Q153" s="32"/>
      <c r="R153" s="32"/>
      <c r="S153" s="32"/>
      <c r="T153" s="32"/>
      <c r="U153" s="32"/>
      <c r="V153" s="32"/>
      <c r="W153" s="32"/>
      <c r="X153" s="32"/>
      <c r="Y153" s="32"/>
      <c r="Z153" s="32"/>
      <c r="AA153" s="32"/>
      <c r="AB153" s="32"/>
      <c r="AC153" s="75"/>
      <c r="AD153" s="75"/>
      <c r="AE153" s="75"/>
      <c r="AF153" s="75"/>
      <c r="AG153" s="75"/>
      <c r="AH153" s="75"/>
      <c r="AI153" s="75"/>
      <c r="AJ153" s="75"/>
      <c r="AK153" s="75"/>
      <c r="AL153" s="128"/>
      <c r="AM153" s="75"/>
      <c r="AN153" s="163"/>
      <c r="AO153" s="75"/>
      <c r="AP153" s="75"/>
      <c r="AQ153" s="75">
        <v>5</v>
      </c>
      <c r="AR153" s="171">
        <v>35.1</v>
      </c>
      <c r="AS153" s="6"/>
    </row>
    <row r="154" spans="1:45" ht="13.5" customHeight="1">
      <c r="A154" s="6"/>
      <c r="B154" s="21"/>
      <c r="C154" s="22" t="s">
        <v>3</v>
      </c>
      <c r="D154" s="86">
        <f t="shared" ca="1" si="6"/>
        <v>63.3</v>
      </c>
      <c r="E154" s="83"/>
      <c r="F154" s="82">
        <f t="shared" ca="1" si="8"/>
        <v>63.3</v>
      </c>
      <c r="G154" s="90"/>
      <c r="H154" s="142"/>
      <c r="I154" s="143"/>
      <c r="J154" s="144">
        <f t="shared" ca="1" si="7"/>
        <v>7</v>
      </c>
      <c r="K154" s="88"/>
      <c r="L154" s="91"/>
      <c r="M154" s="41"/>
      <c r="N154" s="44" t="s">
        <v>3</v>
      </c>
      <c r="O154" s="23"/>
      <c r="P154" s="24"/>
      <c r="Q154" s="24"/>
      <c r="R154" s="24"/>
      <c r="S154" s="24"/>
      <c r="T154" s="24"/>
      <c r="U154" s="24"/>
      <c r="V154" s="24"/>
      <c r="W154" s="24"/>
      <c r="X154" s="24"/>
      <c r="Y154" s="24"/>
      <c r="Z154" s="24"/>
      <c r="AA154" s="24"/>
      <c r="AB154" s="24"/>
      <c r="AC154" s="72"/>
      <c r="AD154" s="72"/>
      <c r="AE154" s="72"/>
      <c r="AF154" s="72"/>
      <c r="AG154" s="72"/>
      <c r="AH154" s="72"/>
      <c r="AI154" s="72"/>
      <c r="AJ154" s="72"/>
      <c r="AK154" s="72"/>
      <c r="AL154" s="125"/>
      <c r="AM154" s="72"/>
      <c r="AN154" s="160"/>
      <c r="AO154" s="72"/>
      <c r="AP154" s="72"/>
      <c r="AQ154" s="72">
        <v>7</v>
      </c>
      <c r="AR154" s="168">
        <v>63.3</v>
      </c>
      <c r="AS154" s="6"/>
    </row>
    <row r="155" spans="1:45" ht="13.5" customHeight="1">
      <c r="A155" s="6"/>
      <c r="B155" s="21" t="s">
        <v>10</v>
      </c>
      <c r="C155" s="22" t="s">
        <v>5</v>
      </c>
      <c r="D155" s="86">
        <f t="shared" ca="1" si="6"/>
        <v>8.1999999999999993</v>
      </c>
      <c r="E155" s="83"/>
      <c r="F155" s="82">
        <f t="shared" ca="1" si="8"/>
        <v>8.1999999999999993</v>
      </c>
      <c r="G155" s="90"/>
      <c r="H155" s="142"/>
      <c r="I155" s="143"/>
      <c r="J155" s="144">
        <f t="shared" ca="1" si="7"/>
        <v>36.700000000000003</v>
      </c>
      <c r="K155" s="88"/>
      <c r="L155" s="91"/>
      <c r="M155" s="41" t="s">
        <v>10</v>
      </c>
      <c r="N155" s="44" t="s">
        <v>5</v>
      </c>
      <c r="O155" s="23"/>
      <c r="P155" s="24"/>
      <c r="Q155" s="24"/>
      <c r="R155" s="24"/>
      <c r="S155" s="24"/>
      <c r="T155" s="24"/>
      <c r="U155" s="24"/>
      <c r="V155" s="24"/>
      <c r="W155" s="24"/>
      <c r="X155" s="24"/>
      <c r="Y155" s="24"/>
      <c r="Z155" s="24"/>
      <c r="AA155" s="24"/>
      <c r="AB155" s="24"/>
      <c r="AC155" s="72"/>
      <c r="AD155" s="72"/>
      <c r="AE155" s="72"/>
      <c r="AF155" s="72"/>
      <c r="AG155" s="72"/>
      <c r="AH155" s="72"/>
      <c r="AI155" s="72"/>
      <c r="AJ155" s="72"/>
      <c r="AK155" s="72"/>
      <c r="AL155" s="125"/>
      <c r="AM155" s="72"/>
      <c r="AN155" s="160"/>
      <c r="AO155" s="72"/>
      <c r="AP155" s="72"/>
      <c r="AQ155" s="72">
        <v>36.700000000000003</v>
      </c>
      <c r="AR155" s="168">
        <v>8.1999999999999993</v>
      </c>
      <c r="AS155" s="6"/>
    </row>
    <row r="156" spans="1:45" ht="13.5" customHeight="1">
      <c r="A156" s="6"/>
      <c r="B156" s="21"/>
      <c r="C156" s="22" t="s">
        <v>6</v>
      </c>
      <c r="D156" s="86">
        <f t="shared" ca="1" si="6"/>
        <v>18.399999999999999</v>
      </c>
      <c r="E156" s="83"/>
      <c r="F156" s="82">
        <f t="shared" ca="1" si="8"/>
        <v>18.399999999999999</v>
      </c>
      <c r="G156" s="90"/>
      <c r="H156" s="142"/>
      <c r="I156" s="143"/>
      <c r="J156" s="144">
        <f t="shared" ca="1" si="7"/>
        <v>44.1</v>
      </c>
      <c r="K156" s="88"/>
      <c r="L156" s="91"/>
      <c r="M156" s="41"/>
      <c r="N156" s="44" t="s">
        <v>6</v>
      </c>
      <c r="O156" s="23"/>
      <c r="P156" s="24"/>
      <c r="Q156" s="24"/>
      <c r="R156" s="24"/>
      <c r="S156" s="24"/>
      <c r="T156" s="24"/>
      <c r="U156" s="24"/>
      <c r="V156" s="24"/>
      <c r="W156" s="24"/>
      <c r="X156" s="24"/>
      <c r="Y156" s="24"/>
      <c r="Z156" s="24"/>
      <c r="AA156" s="24"/>
      <c r="AB156" s="24"/>
      <c r="AC156" s="72"/>
      <c r="AD156" s="72"/>
      <c r="AE156" s="72"/>
      <c r="AF156" s="72"/>
      <c r="AG156" s="72"/>
      <c r="AH156" s="72"/>
      <c r="AI156" s="72"/>
      <c r="AJ156" s="72"/>
      <c r="AK156" s="72"/>
      <c r="AL156" s="125"/>
      <c r="AM156" s="72"/>
      <c r="AN156" s="160"/>
      <c r="AO156" s="72"/>
      <c r="AP156" s="72"/>
      <c r="AQ156" s="72">
        <v>44.1</v>
      </c>
      <c r="AR156" s="168">
        <v>18.399999999999999</v>
      </c>
      <c r="AS156" s="6"/>
    </row>
    <row r="157" spans="1:45" ht="13.5" customHeight="1">
      <c r="A157" s="6"/>
      <c r="B157" s="21"/>
      <c r="C157" s="22" t="s">
        <v>7</v>
      </c>
      <c r="D157" s="86">
        <f t="shared" ca="1" si="6"/>
        <v>9.3000000000000007</v>
      </c>
      <c r="E157" s="83"/>
      <c r="F157" s="82">
        <f t="shared" ca="1" si="8"/>
        <v>9.3000000000000007</v>
      </c>
      <c r="G157" s="90"/>
      <c r="H157" s="142"/>
      <c r="I157" s="143"/>
      <c r="J157" s="144">
        <f t="shared" ca="1" si="7"/>
        <v>28.53</v>
      </c>
      <c r="K157" s="88"/>
      <c r="L157" s="91"/>
      <c r="M157" s="41"/>
      <c r="N157" s="44" t="s">
        <v>7</v>
      </c>
      <c r="O157" s="23"/>
      <c r="P157" s="24"/>
      <c r="Q157" s="24"/>
      <c r="R157" s="24"/>
      <c r="S157" s="24"/>
      <c r="T157" s="24"/>
      <c r="U157" s="24"/>
      <c r="V157" s="24"/>
      <c r="W157" s="24"/>
      <c r="X157" s="24"/>
      <c r="Y157" s="24"/>
      <c r="Z157" s="24"/>
      <c r="AA157" s="24"/>
      <c r="AB157" s="24"/>
      <c r="AC157" s="72"/>
      <c r="AD157" s="72"/>
      <c r="AE157" s="72"/>
      <c r="AF157" s="72"/>
      <c r="AG157" s="72"/>
      <c r="AH157" s="72"/>
      <c r="AI157" s="72"/>
      <c r="AJ157" s="72"/>
      <c r="AK157" s="72"/>
      <c r="AL157" s="125"/>
      <c r="AM157" s="72"/>
      <c r="AN157" s="160"/>
      <c r="AO157" s="72"/>
      <c r="AP157" s="72"/>
      <c r="AQ157" s="72">
        <v>28.53</v>
      </c>
      <c r="AR157" s="168">
        <v>9.3000000000000007</v>
      </c>
      <c r="AS157" s="6"/>
    </row>
    <row r="158" spans="1:45" ht="13.5" customHeight="1" thickBot="1">
      <c r="A158" s="6"/>
      <c r="B158" s="27"/>
      <c r="C158" s="28" t="s">
        <v>8</v>
      </c>
      <c r="D158" s="92">
        <f t="shared" ca="1" si="6"/>
        <v>36.6</v>
      </c>
      <c r="E158" s="84"/>
      <c r="F158" s="93">
        <f t="shared" ca="1" si="8"/>
        <v>36.6</v>
      </c>
      <c r="G158" s="94"/>
      <c r="H158" s="145"/>
      <c r="I158" s="146"/>
      <c r="J158" s="147">
        <f t="shared" ca="1" si="7"/>
        <v>15.7</v>
      </c>
      <c r="K158" s="95"/>
      <c r="L158" s="91"/>
      <c r="M158" s="4"/>
      <c r="N158" s="16" t="s">
        <v>8</v>
      </c>
      <c r="O158" s="36"/>
      <c r="P158" s="26"/>
      <c r="Q158" s="26"/>
      <c r="R158" s="26"/>
      <c r="S158" s="26"/>
      <c r="T158" s="26"/>
      <c r="U158" s="26"/>
      <c r="V158" s="26"/>
      <c r="W158" s="26"/>
      <c r="X158" s="26"/>
      <c r="Y158" s="26"/>
      <c r="Z158" s="26"/>
      <c r="AA158" s="26"/>
      <c r="AB158" s="26"/>
      <c r="AC158" s="73"/>
      <c r="AD158" s="73"/>
      <c r="AE158" s="73"/>
      <c r="AF158" s="73"/>
      <c r="AG158" s="73"/>
      <c r="AH158" s="73"/>
      <c r="AI158" s="73"/>
      <c r="AJ158" s="73"/>
      <c r="AK158" s="73"/>
      <c r="AL158" s="126"/>
      <c r="AM158" s="73"/>
      <c r="AN158" s="161"/>
      <c r="AO158" s="73"/>
      <c r="AP158" s="73"/>
      <c r="AQ158" s="73">
        <v>15.7</v>
      </c>
      <c r="AR158" s="169">
        <v>36.6</v>
      </c>
      <c r="AS158" s="6"/>
    </row>
    <row r="159" spans="1:45" ht="13.5" customHeight="1">
      <c r="A159" s="6"/>
      <c r="B159" s="21"/>
      <c r="C159" s="10" t="s">
        <v>2</v>
      </c>
      <c r="D159" s="86">
        <f t="shared" ca="1" si="6"/>
        <v>16.399999999999999</v>
      </c>
      <c r="E159" s="83"/>
      <c r="F159" s="82">
        <f t="shared" ca="1" si="8"/>
        <v>16.399999999999999</v>
      </c>
      <c r="G159" s="90"/>
      <c r="H159" s="139"/>
      <c r="I159" s="140"/>
      <c r="J159" s="141">
        <f t="shared" ca="1" si="7"/>
        <v>3</v>
      </c>
      <c r="K159" s="88"/>
      <c r="L159" s="91"/>
      <c r="M159" s="41"/>
      <c r="N159" s="12" t="s">
        <v>2</v>
      </c>
      <c r="O159" s="18"/>
      <c r="P159" s="19"/>
      <c r="Q159" s="19"/>
      <c r="R159" s="19"/>
      <c r="S159" s="19"/>
      <c r="T159" s="19"/>
      <c r="U159" s="19"/>
      <c r="V159" s="19"/>
      <c r="W159" s="19"/>
      <c r="X159" s="19"/>
      <c r="Y159" s="19"/>
      <c r="Z159" s="19"/>
      <c r="AA159" s="19"/>
      <c r="AB159" s="19"/>
      <c r="AC159" s="71"/>
      <c r="AD159" s="71"/>
      <c r="AE159" s="71"/>
      <c r="AF159" s="71"/>
      <c r="AG159" s="71"/>
      <c r="AH159" s="71"/>
      <c r="AI159" s="71"/>
      <c r="AJ159" s="71"/>
      <c r="AK159" s="71"/>
      <c r="AL159" s="124"/>
      <c r="AM159" s="71"/>
      <c r="AN159" s="159"/>
      <c r="AO159" s="71"/>
      <c r="AP159" s="71"/>
      <c r="AQ159" s="71">
        <v>3</v>
      </c>
      <c r="AR159" s="167">
        <v>16.399999999999999</v>
      </c>
      <c r="AS159" s="6"/>
    </row>
    <row r="160" spans="1:45" ht="13.5" customHeight="1">
      <c r="A160" s="6"/>
      <c r="B160" s="21"/>
      <c r="C160" s="22" t="s">
        <v>3</v>
      </c>
      <c r="D160" s="86">
        <f t="shared" ca="1" si="6"/>
        <v>24.4</v>
      </c>
      <c r="E160" s="83"/>
      <c r="F160" s="82">
        <f t="shared" ca="1" si="8"/>
        <v>24.4</v>
      </c>
      <c r="G160" s="90"/>
      <c r="H160" s="142"/>
      <c r="I160" s="143"/>
      <c r="J160" s="144">
        <f t="shared" ca="1" si="7"/>
        <v>22</v>
      </c>
      <c r="K160" s="88"/>
      <c r="L160" s="91"/>
      <c r="M160" s="41"/>
      <c r="N160" s="44" t="s">
        <v>3</v>
      </c>
      <c r="O160" s="23"/>
      <c r="P160" s="24"/>
      <c r="Q160" s="24"/>
      <c r="R160" s="24"/>
      <c r="S160" s="24"/>
      <c r="T160" s="24"/>
      <c r="U160" s="24"/>
      <c r="V160" s="24"/>
      <c r="W160" s="24"/>
      <c r="X160" s="24"/>
      <c r="Y160" s="24"/>
      <c r="Z160" s="24"/>
      <c r="AA160" s="24"/>
      <c r="AB160" s="24"/>
      <c r="AC160" s="72"/>
      <c r="AD160" s="72"/>
      <c r="AE160" s="72"/>
      <c r="AF160" s="72"/>
      <c r="AG160" s="72"/>
      <c r="AH160" s="72"/>
      <c r="AI160" s="72"/>
      <c r="AJ160" s="72"/>
      <c r="AK160" s="72"/>
      <c r="AL160" s="125"/>
      <c r="AM160" s="72"/>
      <c r="AN160" s="160"/>
      <c r="AO160" s="72"/>
      <c r="AP160" s="72"/>
      <c r="AQ160" s="72">
        <v>22</v>
      </c>
      <c r="AR160" s="168">
        <v>24.4</v>
      </c>
      <c r="AS160" s="6"/>
    </row>
    <row r="161" spans="1:45" ht="13.5" customHeight="1">
      <c r="A161" s="6"/>
      <c r="B161" s="21" t="s">
        <v>11</v>
      </c>
      <c r="C161" s="22" t="s">
        <v>5</v>
      </c>
      <c r="D161" s="86">
        <f t="shared" ca="1" si="6"/>
        <v>12.3</v>
      </c>
      <c r="E161" s="83"/>
      <c r="F161" s="82">
        <f t="shared" ca="1" si="8"/>
        <v>12.3</v>
      </c>
      <c r="G161" s="90"/>
      <c r="H161" s="142"/>
      <c r="I161" s="143"/>
      <c r="J161" s="144">
        <f t="shared" ca="1" si="7"/>
        <v>10.7</v>
      </c>
      <c r="K161" s="88"/>
      <c r="L161" s="91"/>
      <c r="M161" s="41" t="s">
        <v>11</v>
      </c>
      <c r="N161" s="44" t="s">
        <v>5</v>
      </c>
      <c r="O161" s="23"/>
      <c r="P161" s="24"/>
      <c r="Q161" s="24"/>
      <c r="R161" s="24"/>
      <c r="S161" s="24"/>
      <c r="T161" s="24"/>
      <c r="U161" s="24"/>
      <c r="V161" s="24"/>
      <c r="W161" s="24"/>
      <c r="X161" s="24"/>
      <c r="Y161" s="24"/>
      <c r="Z161" s="24"/>
      <c r="AA161" s="24"/>
      <c r="AB161" s="24"/>
      <c r="AC161" s="72"/>
      <c r="AD161" s="72"/>
      <c r="AE161" s="72"/>
      <c r="AF161" s="72"/>
      <c r="AG161" s="72"/>
      <c r="AH161" s="72"/>
      <c r="AI161" s="72"/>
      <c r="AJ161" s="72"/>
      <c r="AK161" s="72"/>
      <c r="AL161" s="125"/>
      <c r="AM161" s="72"/>
      <c r="AN161" s="160"/>
      <c r="AO161" s="72"/>
      <c r="AP161" s="72"/>
      <c r="AQ161" s="72">
        <v>10.7</v>
      </c>
      <c r="AR161" s="168">
        <v>12.3</v>
      </c>
      <c r="AS161" s="6"/>
    </row>
    <row r="162" spans="1:45" ht="13.5" customHeight="1">
      <c r="A162" s="6"/>
      <c r="B162" s="21"/>
      <c r="C162" s="22" t="s">
        <v>6</v>
      </c>
      <c r="D162" s="86">
        <f t="shared" ca="1" si="6"/>
        <v>5.7</v>
      </c>
      <c r="E162" s="83"/>
      <c r="F162" s="82">
        <f t="shared" ca="1" si="8"/>
        <v>5.7</v>
      </c>
      <c r="G162" s="90"/>
      <c r="H162" s="142"/>
      <c r="I162" s="143"/>
      <c r="J162" s="144">
        <f t="shared" ca="1" si="7"/>
        <v>24.3</v>
      </c>
      <c r="K162" s="88"/>
      <c r="L162" s="91"/>
      <c r="M162" s="41"/>
      <c r="N162" s="44" t="s">
        <v>6</v>
      </c>
      <c r="O162" s="23"/>
      <c r="P162" s="24"/>
      <c r="Q162" s="24"/>
      <c r="R162" s="24"/>
      <c r="S162" s="24"/>
      <c r="T162" s="24"/>
      <c r="U162" s="24"/>
      <c r="V162" s="24"/>
      <c r="W162" s="24"/>
      <c r="X162" s="24"/>
      <c r="Y162" s="24"/>
      <c r="Z162" s="24"/>
      <c r="AA162" s="24"/>
      <c r="AB162" s="24"/>
      <c r="AC162" s="72"/>
      <c r="AD162" s="72"/>
      <c r="AE162" s="72"/>
      <c r="AF162" s="72"/>
      <c r="AG162" s="72"/>
      <c r="AH162" s="72"/>
      <c r="AI162" s="72"/>
      <c r="AJ162" s="72"/>
      <c r="AK162" s="72"/>
      <c r="AL162" s="125"/>
      <c r="AM162" s="72"/>
      <c r="AN162" s="160"/>
      <c r="AO162" s="72"/>
      <c r="AP162" s="72"/>
      <c r="AQ162" s="72">
        <v>24.3</v>
      </c>
      <c r="AR162" s="168">
        <v>5.7</v>
      </c>
      <c r="AS162" s="6"/>
    </row>
    <row r="163" spans="1:45" ht="13.5" customHeight="1">
      <c r="A163" s="6"/>
      <c r="B163" s="21"/>
      <c r="C163" s="22" t="s">
        <v>7</v>
      </c>
      <c r="D163" s="86">
        <f t="shared" ca="1" si="6"/>
        <v>15.1</v>
      </c>
      <c r="E163" s="83"/>
      <c r="F163" s="82">
        <f t="shared" ca="1" si="8"/>
        <v>15.1</v>
      </c>
      <c r="G163" s="90"/>
      <c r="H163" s="142"/>
      <c r="I163" s="143"/>
      <c r="J163" s="144">
        <f t="shared" ca="1" si="7"/>
        <v>11</v>
      </c>
      <c r="K163" s="88"/>
      <c r="L163" s="91"/>
      <c r="M163" s="41"/>
      <c r="N163" s="44" t="s">
        <v>7</v>
      </c>
      <c r="O163" s="23"/>
      <c r="P163" s="24"/>
      <c r="Q163" s="24"/>
      <c r="R163" s="24"/>
      <c r="S163" s="24"/>
      <c r="T163" s="24"/>
      <c r="U163" s="24"/>
      <c r="V163" s="24"/>
      <c r="W163" s="24"/>
      <c r="X163" s="24"/>
      <c r="Y163" s="24"/>
      <c r="Z163" s="24"/>
      <c r="AA163" s="24"/>
      <c r="AB163" s="24"/>
      <c r="AC163" s="72"/>
      <c r="AD163" s="72"/>
      <c r="AE163" s="72"/>
      <c r="AF163" s="72"/>
      <c r="AG163" s="72"/>
      <c r="AH163" s="72"/>
      <c r="AI163" s="72"/>
      <c r="AJ163" s="72"/>
      <c r="AK163" s="72"/>
      <c r="AL163" s="125"/>
      <c r="AM163" s="72"/>
      <c r="AN163" s="160"/>
      <c r="AO163" s="72"/>
      <c r="AP163" s="72"/>
      <c r="AQ163" s="72">
        <v>11</v>
      </c>
      <c r="AR163" s="168">
        <v>15.1</v>
      </c>
      <c r="AS163" s="6"/>
    </row>
    <row r="164" spans="1:45" ht="13.5" customHeight="1" thickBot="1">
      <c r="A164" s="6"/>
      <c r="B164" s="21"/>
      <c r="C164" s="28" t="s">
        <v>8</v>
      </c>
      <c r="D164" s="92">
        <f t="shared" ca="1" si="6"/>
        <v>0</v>
      </c>
      <c r="E164" s="84"/>
      <c r="F164" s="93">
        <f t="shared" ca="1" si="8"/>
        <v>0</v>
      </c>
      <c r="G164" s="94"/>
      <c r="H164" s="145"/>
      <c r="I164" s="146"/>
      <c r="J164" s="147">
        <f t="shared" ca="1" si="7"/>
        <v>12.5</v>
      </c>
      <c r="K164" s="95"/>
      <c r="L164" s="91"/>
      <c r="M164" s="41"/>
      <c r="N164" s="16" t="s">
        <v>8</v>
      </c>
      <c r="O164" s="29"/>
      <c r="P164" s="30"/>
      <c r="Q164" s="30"/>
      <c r="R164" s="30"/>
      <c r="S164" s="30"/>
      <c r="T164" s="30"/>
      <c r="U164" s="30"/>
      <c r="V164" s="30"/>
      <c r="W164" s="30"/>
      <c r="X164" s="30"/>
      <c r="Y164" s="30"/>
      <c r="Z164" s="30"/>
      <c r="AA164" s="30"/>
      <c r="AB164" s="30"/>
      <c r="AC164" s="74"/>
      <c r="AD164" s="74"/>
      <c r="AE164" s="74"/>
      <c r="AF164" s="74"/>
      <c r="AG164" s="74"/>
      <c r="AH164" s="74"/>
      <c r="AI164" s="74"/>
      <c r="AJ164" s="74"/>
      <c r="AK164" s="74"/>
      <c r="AL164" s="127"/>
      <c r="AM164" s="74"/>
      <c r="AN164" s="162"/>
      <c r="AO164" s="74"/>
      <c r="AP164" s="74"/>
      <c r="AQ164" s="74">
        <v>12.5</v>
      </c>
      <c r="AR164" s="170">
        <v>0</v>
      </c>
      <c r="AS164" s="6"/>
    </row>
    <row r="165" spans="1:45" ht="13.5" customHeight="1">
      <c r="A165" s="6"/>
      <c r="B165" s="17"/>
      <c r="C165" s="10" t="s">
        <v>2</v>
      </c>
      <c r="D165" s="86">
        <f t="shared" ca="1" si="6"/>
        <v>0</v>
      </c>
      <c r="E165" s="83"/>
      <c r="F165" s="82">
        <f t="shared" ca="1" si="8"/>
        <v>0</v>
      </c>
      <c r="G165" s="90"/>
      <c r="H165" s="139"/>
      <c r="I165" s="140"/>
      <c r="J165" s="141">
        <f t="shared" ca="1" si="7"/>
        <v>15.7</v>
      </c>
      <c r="K165" s="88"/>
      <c r="L165" s="91"/>
      <c r="M165" s="37"/>
      <c r="N165" s="12" t="s">
        <v>2</v>
      </c>
      <c r="O165" s="31"/>
      <c r="P165" s="32"/>
      <c r="Q165" s="32"/>
      <c r="R165" s="32"/>
      <c r="S165" s="32"/>
      <c r="T165" s="32"/>
      <c r="U165" s="32"/>
      <c r="V165" s="32"/>
      <c r="W165" s="32"/>
      <c r="X165" s="32"/>
      <c r="Y165" s="32"/>
      <c r="Z165" s="32"/>
      <c r="AA165" s="32"/>
      <c r="AB165" s="32"/>
      <c r="AC165" s="75"/>
      <c r="AD165" s="75"/>
      <c r="AE165" s="75"/>
      <c r="AF165" s="75"/>
      <c r="AG165" s="75"/>
      <c r="AH165" s="75"/>
      <c r="AI165" s="75"/>
      <c r="AJ165" s="75"/>
      <c r="AK165" s="75"/>
      <c r="AL165" s="128"/>
      <c r="AM165" s="75"/>
      <c r="AN165" s="163"/>
      <c r="AO165" s="75"/>
      <c r="AP165" s="75"/>
      <c r="AQ165" s="75">
        <v>15.7</v>
      </c>
      <c r="AR165" s="171">
        <v>0</v>
      </c>
      <c r="AS165" s="6"/>
    </row>
    <row r="166" spans="1:45" ht="13.5" customHeight="1">
      <c r="A166" s="6"/>
      <c r="B166" s="21"/>
      <c r="C166" s="22" t="s">
        <v>3</v>
      </c>
      <c r="D166" s="86">
        <f t="shared" ca="1" si="6"/>
        <v>3.4</v>
      </c>
      <c r="E166" s="83"/>
      <c r="F166" s="82">
        <f t="shared" ca="1" si="8"/>
        <v>3.4</v>
      </c>
      <c r="G166" s="90"/>
      <c r="H166" s="142"/>
      <c r="I166" s="143"/>
      <c r="J166" s="144">
        <f t="shared" ca="1" si="7"/>
        <v>40.299999999999997</v>
      </c>
      <c r="K166" s="88"/>
      <c r="L166" s="91"/>
      <c r="M166" s="41"/>
      <c r="N166" s="44" t="s">
        <v>3</v>
      </c>
      <c r="O166" s="23"/>
      <c r="P166" s="24"/>
      <c r="Q166" s="24"/>
      <c r="R166" s="24"/>
      <c r="S166" s="24"/>
      <c r="T166" s="24"/>
      <c r="U166" s="24"/>
      <c r="V166" s="24"/>
      <c r="W166" s="24"/>
      <c r="X166" s="24"/>
      <c r="Y166" s="24"/>
      <c r="Z166" s="24"/>
      <c r="AA166" s="24"/>
      <c r="AB166" s="24"/>
      <c r="AC166" s="72"/>
      <c r="AD166" s="72"/>
      <c r="AE166" s="72"/>
      <c r="AF166" s="72"/>
      <c r="AG166" s="72"/>
      <c r="AH166" s="72"/>
      <c r="AI166" s="72"/>
      <c r="AJ166" s="72"/>
      <c r="AK166" s="72"/>
      <c r="AL166" s="125"/>
      <c r="AM166" s="72"/>
      <c r="AN166" s="160"/>
      <c r="AO166" s="72"/>
      <c r="AP166" s="72"/>
      <c r="AQ166" s="72">
        <v>40.299999999999997</v>
      </c>
      <c r="AR166" s="168">
        <v>3.4</v>
      </c>
      <c r="AS166" s="6"/>
    </row>
    <row r="167" spans="1:45" ht="13.5" customHeight="1">
      <c r="A167" s="6"/>
      <c r="B167" s="21" t="s">
        <v>12</v>
      </c>
      <c r="C167" s="22" t="s">
        <v>5</v>
      </c>
      <c r="D167" s="86">
        <f t="shared" ca="1" si="6"/>
        <v>7.4</v>
      </c>
      <c r="E167" s="83"/>
      <c r="F167" s="82">
        <f t="shared" ca="1" si="8"/>
        <v>7.4</v>
      </c>
      <c r="G167" s="90"/>
      <c r="H167" s="142"/>
      <c r="I167" s="143"/>
      <c r="J167" s="144">
        <f t="shared" ca="1" si="7"/>
        <v>21</v>
      </c>
      <c r="K167" s="88"/>
      <c r="L167" s="91"/>
      <c r="M167" s="41" t="s">
        <v>12</v>
      </c>
      <c r="N167" s="44" t="s">
        <v>5</v>
      </c>
      <c r="O167" s="23"/>
      <c r="P167" s="24"/>
      <c r="Q167" s="24"/>
      <c r="R167" s="24"/>
      <c r="S167" s="24"/>
      <c r="T167" s="24"/>
      <c r="U167" s="24"/>
      <c r="V167" s="24"/>
      <c r="W167" s="24"/>
      <c r="X167" s="24"/>
      <c r="Y167" s="24"/>
      <c r="Z167" s="24"/>
      <c r="AA167" s="24"/>
      <c r="AB167" s="24"/>
      <c r="AC167" s="72"/>
      <c r="AD167" s="72"/>
      <c r="AE167" s="72"/>
      <c r="AF167" s="72"/>
      <c r="AG167" s="72"/>
      <c r="AH167" s="72"/>
      <c r="AI167" s="72"/>
      <c r="AJ167" s="72"/>
      <c r="AK167" s="72"/>
      <c r="AL167" s="125"/>
      <c r="AM167" s="72"/>
      <c r="AN167" s="160"/>
      <c r="AO167" s="72"/>
      <c r="AP167" s="72"/>
      <c r="AQ167" s="72">
        <v>21</v>
      </c>
      <c r="AR167" s="168">
        <v>7.4</v>
      </c>
      <c r="AS167" s="6"/>
    </row>
    <row r="168" spans="1:45" ht="13.5" customHeight="1">
      <c r="A168" s="6"/>
      <c r="B168" s="21"/>
      <c r="C168" s="22" t="s">
        <v>6</v>
      </c>
      <c r="D168" s="86">
        <f t="shared" ca="1" si="6"/>
        <v>5.4</v>
      </c>
      <c r="E168" s="83"/>
      <c r="F168" s="82">
        <f t="shared" ca="1" si="8"/>
        <v>5.4</v>
      </c>
      <c r="G168" s="90"/>
      <c r="H168" s="142"/>
      <c r="I168" s="143"/>
      <c r="J168" s="144">
        <f t="shared" ca="1" si="7"/>
        <v>74</v>
      </c>
      <c r="K168" s="88"/>
      <c r="L168" s="91"/>
      <c r="M168" s="41"/>
      <c r="N168" s="44" t="s">
        <v>6</v>
      </c>
      <c r="O168" s="23"/>
      <c r="P168" s="24"/>
      <c r="Q168" s="24"/>
      <c r="R168" s="24"/>
      <c r="S168" s="24"/>
      <c r="T168" s="24"/>
      <c r="U168" s="24"/>
      <c r="V168" s="24"/>
      <c r="W168" s="24"/>
      <c r="X168" s="24"/>
      <c r="Y168" s="24"/>
      <c r="Z168" s="24"/>
      <c r="AA168" s="24"/>
      <c r="AB168" s="24"/>
      <c r="AC168" s="72"/>
      <c r="AD168" s="72"/>
      <c r="AE168" s="72"/>
      <c r="AF168" s="72"/>
      <c r="AG168" s="72"/>
      <c r="AH168" s="72"/>
      <c r="AI168" s="72"/>
      <c r="AJ168" s="72"/>
      <c r="AK168" s="72"/>
      <c r="AL168" s="125"/>
      <c r="AM168" s="72"/>
      <c r="AN168" s="160"/>
      <c r="AO168" s="72"/>
      <c r="AP168" s="72"/>
      <c r="AQ168" s="72">
        <v>74</v>
      </c>
      <c r="AR168" s="168">
        <v>5.4</v>
      </c>
      <c r="AS168" s="6"/>
    </row>
    <row r="169" spans="1:45" ht="13.5" customHeight="1">
      <c r="A169" s="6"/>
      <c r="B169" s="21"/>
      <c r="C169" s="22" t="s">
        <v>7</v>
      </c>
      <c r="D169" s="86">
        <f t="shared" ca="1" si="6"/>
        <v>15</v>
      </c>
      <c r="E169" s="83"/>
      <c r="F169" s="82">
        <f t="shared" ca="1" si="8"/>
        <v>15</v>
      </c>
      <c r="G169" s="90"/>
      <c r="H169" s="142"/>
      <c r="I169" s="143"/>
      <c r="J169" s="144">
        <f t="shared" ca="1" si="7"/>
        <v>33</v>
      </c>
      <c r="K169" s="88"/>
      <c r="L169" s="91"/>
      <c r="M169" s="41"/>
      <c r="N169" s="44" t="s">
        <v>7</v>
      </c>
      <c r="O169" s="23"/>
      <c r="P169" s="24"/>
      <c r="Q169" s="24"/>
      <c r="R169" s="24"/>
      <c r="S169" s="24"/>
      <c r="T169" s="24"/>
      <c r="U169" s="24"/>
      <c r="V169" s="24"/>
      <c r="W169" s="24"/>
      <c r="X169" s="24"/>
      <c r="Y169" s="24"/>
      <c r="Z169" s="24"/>
      <c r="AA169" s="24"/>
      <c r="AB169" s="24"/>
      <c r="AC169" s="72"/>
      <c r="AD169" s="72"/>
      <c r="AE169" s="72"/>
      <c r="AF169" s="72"/>
      <c r="AG169" s="72"/>
      <c r="AH169" s="72"/>
      <c r="AI169" s="72"/>
      <c r="AJ169" s="72"/>
      <c r="AK169" s="72"/>
      <c r="AL169" s="125"/>
      <c r="AM169" s="72"/>
      <c r="AN169" s="160"/>
      <c r="AO169" s="72"/>
      <c r="AP169" s="72"/>
      <c r="AQ169" s="72">
        <v>33</v>
      </c>
      <c r="AR169" s="168">
        <v>15</v>
      </c>
      <c r="AS169" s="6"/>
    </row>
    <row r="170" spans="1:45" ht="13.5" customHeight="1" thickBot="1">
      <c r="A170" s="6"/>
      <c r="B170" s="27"/>
      <c r="C170" s="28" t="s">
        <v>8</v>
      </c>
      <c r="D170" s="92">
        <f t="shared" ca="1" si="6"/>
        <v>14.2</v>
      </c>
      <c r="E170" s="84"/>
      <c r="F170" s="93">
        <f t="shared" ca="1" si="8"/>
        <v>14.2</v>
      </c>
      <c r="G170" s="94"/>
      <c r="H170" s="145"/>
      <c r="I170" s="146"/>
      <c r="J170" s="147">
        <f t="shared" ca="1" si="7"/>
        <v>30</v>
      </c>
      <c r="K170" s="95"/>
      <c r="L170" s="91"/>
      <c r="M170" s="4"/>
      <c r="N170" s="16" t="s">
        <v>8</v>
      </c>
      <c r="O170" s="36"/>
      <c r="P170" s="26"/>
      <c r="Q170" s="26"/>
      <c r="R170" s="26"/>
      <c r="S170" s="26"/>
      <c r="T170" s="26"/>
      <c r="U170" s="26"/>
      <c r="V170" s="26"/>
      <c r="W170" s="26"/>
      <c r="X170" s="26"/>
      <c r="Y170" s="26"/>
      <c r="Z170" s="26"/>
      <c r="AA170" s="26"/>
      <c r="AB170" s="26"/>
      <c r="AC170" s="73"/>
      <c r="AD170" s="73"/>
      <c r="AE170" s="73"/>
      <c r="AF170" s="73"/>
      <c r="AG170" s="73"/>
      <c r="AH170" s="73"/>
      <c r="AI170" s="73"/>
      <c r="AJ170" s="73"/>
      <c r="AK170" s="73"/>
      <c r="AL170" s="126"/>
      <c r="AM170" s="73"/>
      <c r="AN170" s="161"/>
      <c r="AO170" s="73"/>
      <c r="AP170" s="73"/>
      <c r="AQ170" s="73">
        <v>30</v>
      </c>
      <c r="AR170" s="169">
        <v>14.2</v>
      </c>
      <c r="AS170" s="6"/>
    </row>
    <row r="171" spans="1:45" ht="13.5" customHeight="1">
      <c r="A171" s="6"/>
      <c r="B171" s="21"/>
      <c r="C171" s="10" t="s">
        <v>2</v>
      </c>
      <c r="D171" s="86">
        <f t="shared" ca="1" si="6"/>
        <v>1.5</v>
      </c>
      <c r="E171" s="83"/>
      <c r="F171" s="82">
        <f t="shared" ca="1" si="8"/>
        <v>1.5</v>
      </c>
      <c r="G171" s="90"/>
      <c r="H171" s="139"/>
      <c r="I171" s="140"/>
      <c r="J171" s="141">
        <f t="shared" ca="1" si="7"/>
        <v>132</v>
      </c>
      <c r="K171" s="88"/>
      <c r="L171" s="91"/>
      <c r="M171" s="41"/>
      <c r="N171" s="12" t="s">
        <v>2</v>
      </c>
      <c r="O171" s="18"/>
      <c r="P171" s="19"/>
      <c r="Q171" s="19"/>
      <c r="R171" s="19"/>
      <c r="S171" s="19"/>
      <c r="T171" s="19"/>
      <c r="U171" s="19"/>
      <c r="V171" s="19"/>
      <c r="W171" s="19"/>
      <c r="X171" s="19"/>
      <c r="Y171" s="19"/>
      <c r="Z171" s="19"/>
      <c r="AA171" s="19"/>
      <c r="AB171" s="19"/>
      <c r="AC171" s="71"/>
      <c r="AD171" s="71"/>
      <c r="AE171" s="71"/>
      <c r="AF171" s="71"/>
      <c r="AG171" s="71"/>
      <c r="AH171" s="71"/>
      <c r="AI171" s="71"/>
      <c r="AJ171" s="71"/>
      <c r="AK171" s="71"/>
      <c r="AL171" s="124"/>
      <c r="AM171" s="71"/>
      <c r="AN171" s="159"/>
      <c r="AO171" s="71"/>
      <c r="AP171" s="71"/>
      <c r="AQ171" s="71">
        <v>132</v>
      </c>
      <c r="AR171" s="167">
        <v>1.5</v>
      </c>
      <c r="AS171" s="6"/>
    </row>
    <row r="172" spans="1:45" ht="13.5" customHeight="1">
      <c r="A172" s="6"/>
      <c r="B172" s="21"/>
      <c r="C172" s="22" t="s">
        <v>3</v>
      </c>
      <c r="D172" s="86">
        <f t="shared" ca="1" si="6"/>
        <v>3.3</v>
      </c>
      <c r="E172" s="83"/>
      <c r="F172" s="82">
        <f t="shared" ca="1" si="8"/>
        <v>3.3</v>
      </c>
      <c r="G172" s="90"/>
      <c r="H172" s="142"/>
      <c r="I172" s="143"/>
      <c r="J172" s="144">
        <f t="shared" ca="1" si="7"/>
        <v>19.5</v>
      </c>
      <c r="K172" s="88"/>
      <c r="L172" s="91"/>
      <c r="M172" s="41"/>
      <c r="N172" s="44" t="s">
        <v>3</v>
      </c>
      <c r="O172" s="23"/>
      <c r="P172" s="24"/>
      <c r="Q172" s="24"/>
      <c r="R172" s="24"/>
      <c r="S172" s="24"/>
      <c r="T172" s="24"/>
      <c r="U172" s="24"/>
      <c r="V172" s="24"/>
      <c r="W172" s="24"/>
      <c r="X172" s="24"/>
      <c r="Y172" s="24"/>
      <c r="Z172" s="24"/>
      <c r="AA172" s="24"/>
      <c r="AB172" s="24"/>
      <c r="AC172" s="72"/>
      <c r="AD172" s="72"/>
      <c r="AE172" s="72"/>
      <c r="AF172" s="72"/>
      <c r="AG172" s="72"/>
      <c r="AH172" s="72"/>
      <c r="AI172" s="72"/>
      <c r="AJ172" s="72"/>
      <c r="AK172" s="72"/>
      <c r="AL172" s="125"/>
      <c r="AM172" s="72"/>
      <c r="AN172" s="160"/>
      <c r="AO172" s="72"/>
      <c r="AP172" s="72"/>
      <c r="AQ172" s="72">
        <v>19.5</v>
      </c>
      <c r="AR172" s="168">
        <v>3.3</v>
      </c>
      <c r="AS172" s="6"/>
    </row>
    <row r="173" spans="1:45" ht="13.5" customHeight="1">
      <c r="A173" s="6"/>
      <c r="B173" s="21" t="s">
        <v>117</v>
      </c>
      <c r="C173" s="22" t="s">
        <v>5</v>
      </c>
      <c r="D173" s="86">
        <f t="shared" ca="1" si="6"/>
        <v>6.4</v>
      </c>
      <c r="E173" s="83"/>
      <c r="F173" s="82">
        <f t="shared" ca="1" si="8"/>
        <v>6.4</v>
      </c>
      <c r="G173" s="90"/>
      <c r="H173" s="142"/>
      <c r="I173" s="143"/>
      <c r="J173" s="144">
        <f t="shared" ca="1" si="7"/>
        <v>22.5</v>
      </c>
      <c r="K173" s="88"/>
      <c r="L173" s="91"/>
      <c r="M173" s="41" t="s">
        <v>13</v>
      </c>
      <c r="N173" s="44" t="s">
        <v>5</v>
      </c>
      <c r="O173" s="23"/>
      <c r="P173" s="24"/>
      <c r="Q173" s="24"/>
      <c r="R173" s="24"/>
      <c r="S173" s="24"/>
      <c r="T173" s="24"/>
      <c r="U173" s="24"/>
      <c r="V173" s="24"/>
      <c r="W173" s="24"/>
      <c r="X173" s="24"/>
      <c r="Y173" s="24"/>
      <c r="Z173" s="24"/>
      <c r="AA173" s="24"/>
      <c r="AB173" s="24"/>
      <c r="AC173" s="72"/>
      <c r="AD173" s="72"/>
      <c r="AE173" s="72"/>
      <c r="AF173" s="72"/>
      <c r="AG173" s="72"/>
      <c r="AH173" s="72"/>
      <c r="AI173" s="72"/>
      <c r="AJ173" s="72"/>
      <c r="AK173" s="72"/>
      <c r="AL173" s="125"/>
      <c r="AM173" s="72"/>
      <c r="AN173" s="160"/>
      <c r="AO173" s="72"/>
      <c r="AP173" s="72"/>
      <c r="AQ173" s="72">
        <v>22.5</v>
      </c>
      <c r="AR173" s="168">
        <v>6.4</v>
      </c>
      <c r="AS173" s="6"/>
    </row>
    <row r="174" spans="1:45" ht="13.5" customHeight="1">
      <c r="A174" s="6"/>
      <c r="B174" s="21"/>
      <c r="C174" s="22" t="s">
        <v>6</v>
      </c>
      <c r="D174" s="86">
        <f t="shared" ca="1" si="6"/>
        <v>4.8</v>
      </c>
      <c r="E174" s="83"/>
      <c r="F174" s="82">
        <f t="shared" ca="1" si="8"/>
        <v>4.8</v>
      </c>
      <c r="G174" s="90"/>
      <c r="H174" s="142"/>
      <c r="I174" s="143"/>
      <c r="J174" s="144">
        <f t="shared" ca="1" si="7"/>
        <v>10</v>
      </c>
      <c r="K174" s="88"/>
      <c r="L174" s="91"/>
      <c r="M174" s="41"/>
      <c r="N174" s="44" t="s">
        <v>6</v>
      </c>
      <c r="O174" s="23"/>
      <c r="P174" s="24"/>
      <c r="Q174" s="24"/>
      <c r="R174" s="24"/>
      <c r="S174" s="24"/>
      <c r="T174" s="24"/>
      <c r="U174" s="24"/>
      <c r="V174" s="24"/>
      <c r="W174" s="24"/>
      <c r="X174" s="24"/>
      <c r="Y174" s="24"/>
      <c r="Z174" s="24"/>
      <c r="AA174" s="24"/>
      <c r="AB174" s="24"/>
      <c r="AC174" s="72"/>
      <c r="AD174" s="72"/>
      <c r="AE174" s="72"/>
      <c r="AF174" s="72"/>
      <c r="AG174" s="72"/>
      <c r="AH174" s="72"/>
      <c r="AI174" s="72"/>
      <c r="AJ174" s="72"/>
      <c r="AK174" s="72"/>
      <c r="AL174" s="125"/>
      <c r="AM174" s="72"/>
      <c r="AN174" s="160"/>
      <c r="AO174" s="72"/>
      <c r="AP174" s="72"/>
      <c r="AQ174" s="72">
        <v>10</v>
      </c>
      <c r="AR174" s="168">
        <v>4.8</v>
      </c>
      <c r="AS174" s="6"/>
    </row>
    <row r="175" spans="1:45" ht="13.5" customHeight="1">
      <c r="A175" s="6"/>
      <c r="B175" s="21"/>
      <c r="C175" s="22" t="s">
        <v>7</v>
      </c>
      <c r="D175" s="86">
        <f t="shared" ca="1" si="6"/>
        <v>4.3</v>
      </c>
      <c r="E175" s="83"/>
      <c r="F175" s="82">
        <f t="shared" ca="1" si="8"/>
        <v>4.3</v>
      </c>
      <c r="G175" s="90"/>
      <c r="H175" s="142"/>
      <c r="I175" s="143"/>
      <c r="J175" s="144">
        <f t="shared" ca="1" si="7"/>
        <v>10</v>
      </c>
      <c r="K175" s="88"/>
      <c r="L175" s="91"/>
      <c r="M175" s="41"/>
      <c r="N175" s="44" t="s">
        <v>7</v>
      </c>
      <c r="O175" s="23"/>
      <c r="P175" s="24"/>
      <c r="Q175" s="24"/>
      <c r="R175" s="24"/>
      <c r="S175" s="24"/>
      <c r="T175" s="24"/>
      <c r="U175" s="24"/>
      <c r="V175" s="24"/>
      <c r="W175" s="24"/>
      <c r="X175" s="24"/>
      <c r="Y175" s="24"/>
      <c r="Z175" s="24"/>
      <c r="AA175" s="24"/>
      <c r="AB175" s="24"/>
      <c r="AC175" s="72"/>
      <c r="AD175" s="72"/>
      <c r="AE175" s="72"/>
      <c r="AF175" s="72"/>
      <c r="AG175" s="72"/>
      <c r="AH175" s="72"/>
      <c r="AI175" s="72"/>
      <c r="AJ175" s="72"/>
      <c r="AK175" s="72"/>
      <c r="AL175" s="125"/>
      <c r="AM175" s="72"/>
      <c r="AN175" s="160"/>
      <c r="AO175" s="72"/>
      <c r="AP175" s="72"/>
      <c r="AQ175" s="72">
        <v>10</v>
      </c>
      <c r="AR175" s="168">
        <v>4.3</v>
      </c>
      <c r="AS175" s="6"/>
    </row>
    <row r="176" spans="1:45" ht="13.5" customHeight="1" thickBot="1">
      <c r="A176" s="6"/>
      <c r="B176" s="21"/>
      <c r="C176" s="28" t="s">
        <v>8</v>
      </c>
      <c r="D176" s="92">
        <f t="shared" ca="1" si="6"/>
        <v>11.7</v>
      </c>
      <c r="E176" s="84"/>
      <c r="F176" s="93">
        <f t="shared" ca="1" si="8"/>
        <v>11.7</v>
      </c>
      <c r="G176" s="94"/>
      <c r="H176" s="145"/>
      <c r="I176" s="146"/>
      <c r="J176" s="147">
        <f t="shared" ca="1" si="7"/>
        <v>13.5</v>
      </c>
      <c r="K176" s="95"/>
      <c r="L176" s="91"/>
      <c r="M176" s="41"/>
      <c r="N176" s="16" t="s">
        <v>8</v>
      </c>
      <c r="O176" s="29"/>
      <c r="P176" s="30"/>
      <c r="Q176" s="30"/>
      <c r="R176" s="30"/>
      <c r="S176" s="30"/>
      <c r="T176" s="30"/>
      <c r="U176" s="30"/>
      <c r="V176" s="30"/>
      <c r="W176" s="30"/>
      <c r="X176" s="30"/>
      <c r="Y176" s="30"/>
      <c r="Z176" s="30"/>
      <c r="AA176" s="30"/>
      <c r="AB176" s="30"/>
      <c r="AC176" s="74"/>
      <c r="AD176" s="74"/>
      <c r="AE176" s="74"/>
      <c r="AF176" s="74"/>
      <c r="AG176" s="74"/>
      <c r="AH176" s="74"/>
      <c r="AI176" s="74"/>
      <c r="AJ176" s="74"/>
      <c r="AK176" s="74"/>
      <c r="AL176" s="127"/>
      <c r="AM176" s="74"/>
      <c r="AN176" s="162"/>
      <c r="AO176" s="74"/>
      <c r="AP176" s="74"/>
      <c r="AQ176" s="74">
        <v>13.5</v>
      </c>
      <c r="AR176" s="170">
        <v>11.7</v>
      </c>
      <c r="AS176" s="6"/>
    </row>
    <row r="177" spans="1:45" ht="13.5" customHeight="1">
      <c r="A177" s="6"/>
      <c r="B177" s="17"/>
      <c r="C177" s="10" t="s">
        <v>2</v>
      </c>
      <c r="D177" s="86">
        <f t="shared" ca="1" si="6"/>
        <v>0.3</v>
      </c>
      <c r="E177" s="83"/>
      <c r="F177" s="82">
        <f t="shared" ca="1" si="8"/>
        <v>0.3</v>
      </c>
      <c r="G177" s="90"/>
      <c r="H177" s="139"/>
      <c r="I177" s="140"/>
      <c r="J177" s="141">
        <f t="shared" ca="1" si="7"/>
        <v>10.8</v>
      </c>
      <c r="K177" s="88"/>
      <c r="L177" s="91"/>
      <c r="M177" s="37"/>
      <c r="N177" s="12" t="s">
        <v>2</v>
      </c>
      <c r="O177" s="31"/>
      <c r="P177" s="32"/>
      <c r="Q177" s="32"/>
      <c r="R177" s="32"/>
      <c r="S177" s="32"/>
      <c r="T177" s="32"/>
      <c r="U177" s="32"/>
      <c r="V177" s="32"/>
      <c r="W177" s="32"/>
      <c r="X177" s="32"/>
      <c r="Y177" s="32"/>
      <c r="Z177" s="32"/>
      <c r="AA177" s="32"/>
      <c r="AB177" s="32"/>
      <c r="AC177" s="75"/>
      <c r="AD177" s="75"/>
      <c r="AE177" s="75"/>
      <c r="AF177" s="75"/>
      <c r="AG177" s="75"/>
      <c r="AH177" s="75"/>
      <c r="AI177" s="75"/>
      <c r="AJ177" s="75"/>
      <c r="AK177" s="75"/>
      <c r="AL177" s="128"/>
      <c r="AM177" s="75"/>
      <c r="AN177" s="163"/>
      <c r="AO177" s="75"/>
      <c r="AP177" s="75"/>
      <c r="AQ177" s="75">
        <v>10.8</v>
      </c>
      <c r="AR177" s="171">
        <v>0.3</v>
      </c>
      <c r="AS177" s="6"/>
    </row>
    <row r="178" spans="1:45" ht="13.5" customHeight="1">
      <c r="A178" s="6"/>
      <c r="B178" s="21"/>
      <c r="C178" s="22" t="s">
        <v>3</v>
      </c>
      <c r="D178" s="86">
        <f t="shared" ca="1" si="6"/>
        <v>1</v>
      </c>
      <c r="E178" s="83"/>
      <c r="F178" s="82">
        <f t="shared" ca="1" si="8"/>
        <v>1</v>
      </c>
      <c r="G178" s="90"/>
      <c r="H178" s="142"/>
      <c r="I178" s="143"/>
      <c r="J178" s="144">
        <f t="shared" ca="1" si="7"/>
        <v>27</v>
      </c>
      <c r="K178" s="88"/>
      <c r="L178" s="91"/>
      <c r="M178" s="41"/>
      <c r="N178" s="44" t="s">
        <v>3</v>
      </c>
      <c r="O178" s="23"/>
      <c r="P178" s="24"/>
      <c r="Q178" s="24"/>
      <c r="R178" s="24"/>
      <c r="S178" s="24"/>
      <c r="T178" s="24"/>
      <c r="U178" s="24"/>
      <c r="V178" s="24"/>
      <c r="W178" s="24"/>
      <c r="X178" s="24"/>
      <c r="Y178" s="24"/>
      <c r="Z178" s="24"/>
      <c r="AA178" s="24"/>
      <c r="AB178" s="24"/>
      <c r="AC178" s="72"/>
      <c r="AD178" s="72"/>
      <c r="AE178" s="72"/>
      <c r="AF178" s="72"/>
      <c r="AG178" s="72"/>
      <c r="AH178" s="72"/>
      <c r="AI178" s="72"/>
      <c r="AJ178" s="72"/>
      <c r="AK178" s="72"/>
      <c r="AL178" s="125"/>
      <c r="AM178" s="72"/>
      <c r="AN178" s="160"/>
      <c r="AO178" s="72"/>
      <c r="AP178" s="72"/>
      <c r="AQ178" s="72">
        <v>27</v>
      </c>
      <c r="AR178" s="168">
        <v>1</v>
      </c>
      <c r="AS178" s="6"/>
    </row>
    <row r="179" spans="1:45" ht="13.5" customHeight="1">
      <c r="A179" s="6"/>
      <c r="B179" s="21" t="s">
        <v>118</v>
      </c>
      <c r="C179" s="22" t="s">
        <v>5</v>
      </c>
      <c r="D179" s="86">
        <f t="shared" ca="1" si="6"/>
        <v>1.8</v>
      </c>
      <c r="E179" s="83"/>
      <c r="F179" s="82">
        <f t="shared" ca="1" si="8"/>
        <v>1.8</v>
      </c>
      <c r="G179" s="90"/>
      <c r="H179" s="142"/>
      <c r="I179" s="143"/>
      <c r="J179" s="144">
        <f t="shared" ca="1" si="7"/>
        <v>4.2</v>
      </c>
      <c r="K179" s="88"/>
      <c r="L179" s="91"/>
      <c r="M179" s="41" t="s">
        <v>14</v>
      </c>
      <c r="N179" s="44" t="s">
        <v>5</v>
      </c>
      <c r="O179" s="23"/>
      <c r="P179" s="24"/>
      <c r="Q179" s="24"/>
      <c r="R179" s="24"/>
      <c r="S179" s="24"/>
      <c r="T179" s="24"/>
      <c r="U179" s="24"/>
      <c r="V179" s="24"/>
      <c r="W179" s="24"/>
      <c r="X179" s="24"/>
      <c r="Y179" s="24"/>
      <c r="Z179" s="24"/>
      <c r="AA179" s="24"/>
      <c r="AB179" s="24"/>
      <c r="AC179" s="72"/>
      <c r="AD179" s="72"/>
      <c r="AE179" s="72"/>
      <c r="AF179" s="72"/>
      <c r="AG179" s="72"/>
      <c r="AH179" s="72"/>
      <c r="AI179" s="72"/>
      <c r="AJ179" s="72"/>
      <c r="AK179" s="72"/>
      <c r="AL179" s="125"/>
      <c r="AM179" s="72"/>
      <c r="AN179" s="160"/>
      <c r="AO179" s="72"/>
      <c r="AP179" s="72"/>
      <c r="AQ179" s="72">
        <v>4.2</v>
      </c>
      <c r="AR179" s="168">
        <v>1.8</v>
      </c>
      <c r="AS179" s="6"/>
    </row>
    <row r="180" spans="1:45" ht="13.5" customHeight="1">
      <c r="A180" s="6"/>
      <c r="B180" s="21"/>
      <c r="C180" s="22" t="s">
        <v>6</v>
      </c>
      <c r="D180" s="86">
        <f t="shared" ca="1" si="6"/>
        <v>0.8</v>
      </c>
      <c r="E180" s="83"/>
      <c r="F180" s="82">
        <f t="shared" ca="1" si="8"/>
        <v>0.8</v>
      </c>
      <c r="G180" s="90"/>
      <c r="H180" s="142"/>
      <c r="I180" s="143"/>
      <c r="J180" s="144">
        <f t="shared" ca="1" si="7"/>
        <v>1.8</v>
      </c>
      <c r="K180" s="88"/>
      <c r="L180" s="91"/>
      <c r="M180" s="41"/>
      <c r="N180" s="44" t="s">
        <v>6</v>
      </c>
      <c r="O180" s="23"/>
      <c r="P180" s="24"/>
      <c r="Q180" s="24"/>
      <c r="R180" s="24"/>
      <c r="S180" s="24"/>
      <c r="T180" s="24"/>
      <c r="U180" s="24"/>
      <c r="V180" s="24"/>
      <c r="W180" s="24"/>
      <c r="X180" s="24"/>
      <c r="Y180" s="24"/>
      <c r="Z180" s="24"/>
      <c r="AA180" s="24"/>
      <c r="AB180" s="24"/>
      <c r="AC180" s="72"/>
      <c r="AD180" s="72"/>
      <c r="AE180" s="72"/>
      <c r="AF180" s="72"/>
      <c r="AG180" s="72"/>
      <c r="AH180" s="72"/>
      <c r="AI180" s="72"/>
      <c r="AJ180" s="72"/>
      <c r="AK180" s="72"/>
      <c r="AL180" s="125"/>
      <c r="AM180" s="72"/>
      <c r="AN180" s="160"/>
      <c r="AO180" s="72"/>
      <c r="AP180" s="72"/>
      <c r="AQ180" s="72">
        <v>1.8</v>
      </c>
      <c r="AR180" s="168">
        <v>0.8</v>
      </c>
      <c r="AS180" s="6"/>
    </row>
    <row r="181" spans="1:45" ht="13.5" customHeight="1">
      <c r="A181" s="6"/>
      <c r="B181" s="21"/>
      <c r="C181" s="22" t="s">
        <v>7</v>
      </c>
      <c r="D181" s="86">
        <f t="shared" ca="1" si="6"/>
        <v>0</v>
      </c>
      <c r="E181" s="83"/>
      <c r="F181" s="82">
        <f t="shared" ca="1" si="8"/>
        <v>0</v>
      </c>
      <c r="G181" s="90"/>
      <c r="H181" s="142"/>
      <c r="I181" s="143"/>
      <c r="J181" s="144">
        <f t="shared" ca="1" si="7"/>
        <v>1</v>
      </c>
      <c r="K181" s="88"/>
      <c r="L181" s="91"/>
      <c r="M181" s="41"/>
      <c r="N181" s="44" t="s">
        <v>7</v>
      </c>
      <c r="O181" s="23"/>
      <c r="P181" s="24"/>
      <c r="Q181" s="24"/>
      <c r="R181" s="24"/>
      <c r="S181" s="24"/>
      <c r="T181" s="24"/>
      <c r="U181" s="24"/>
      <c r="V181" s="24"/>
      <c r="W181" s="24"/>
      <c r="X181" s="24"/>
      <c r="Y181" s="24"/>
      <c r="Z181" s="24"/>
      <c r="AA181" s="24"/>
      <c r="AB181" s="24"/>
      <c r="AC181" s="72"/>
      <c r="AD181" s="72"/>
      <c r="AE181" s="72"/>
      <c r="AF181" s="72"/>
      <c r="AG181" s="72"/>
      <c r="AH181" s="72"/>
      <c r="AI181" s="72"/>
      <c r="AJ181" s="72"/>
      <c r="AK181" s="72"/>
      <c r="AL181" s="125"/>
      <c r="AM181" s="72"/>
      <c r="AN181" s="160"/>
      <c r="AO181" s="72"/>
      <c r="AP181" s="72"/>
      <c r="AQ181" s="72">
        <v>1</v>
      </c>
      <c r="AR181" s="168">
        <v>0</v>
      </c>
      <c r="AS181" s="6"/>
    </row>
    <row r="182" spans="1:45" ht="13.5" customHeight="1" thickBot="1">
      <c r="A182" s="6"/>
      <c r="B182" s="27"/>
      <c r="C182" s="28" t="s">
        <v>8</v>
      </c>
      <c r="D182" s="92">
        <f t="shared" ca="1" si="6"/>
        <v>0</v>
      </c>
      <c r="E182" s="84"/>
      <c r="F182" s="93">
        <f t="shared" ca="1" si="8"/>
        <v>0</v>
      </c>
      <c r="G182" s="94"/>
      <c r="H182" s="145"/>
      <c r="I182" s="146"/>
      <c r="J182" s="147">
        <f t="shared" ca="1" si="7"/>
        <v>0</v>
      </c>
      <c r="K182" s="95"/>
      <c r="L182" s="91"/>
      <c r="M182" s="4"/>
      <c r="N182" s="16" t="s">
        <v>8</v>
      </c>
      <c r="O182" s="29"/>
      <c r="P182" s="30"/>
      <c r="Q182" s="30"/>
      <c r="R182" s="30"/>
      <c r="S182" s="30"/>
      <c r="T182" s="30"/>
      <c r="U182" s="30"/>
      <c r="V182" s="30"/>
      <c r="W182" s="30"/>
      <c r="X182" s="30"/>
      <c r="Y182" s="30"/>
      <c r="Z182" s="30"/>
      <c r="AA182" s="30"/>
      <c r="AB182" s="30"/>
      <c r="AC182" s="74"/>
      <c r="AD182" s="74"/>
      <c r="AE182" s="74"/>
      <c r="AF182" s="74"/>
      <c r="AG182" s="74"/>
      <c r="AH182" s="74"/>
      <c r="AI182" s="74"/>
      <c r="AJ182" s="74"/>
      <c r="AK182" s="74"/>
      <c r="AL182" s="127"/>
      <c r="AM182" s="74"/>
      <c r="AN182" s="162"/>
      <c r="AO182" s="74"/>
      <c r="AP182" s="74"/>
      <c r="AQ182" s="74">
        <v>0</v>
      </c>
      <c r="AR182" s="170">
        <v>0</v>
      </c>
      <c r="AS182" s="6"/>
    </row>
  </sheetData>
  <dataConsolidate/>
  <mergeCells count="18">
    <mergeCell ref="B2:J2"/>
    <mergeCell ref="L2:M2"/>
    <mergeCell ref="AM2:AM4"/>
    <mergeCell ref="H4:J4"/>
    <mergeCell ref="F5:F6"/>
    <mergeCell ref="H6:J6"/>
    <mergeCell ref="L124:M124"/>
    <mergeCell ref="AM124:AM126"/>
    <mergeCell ref="H126:J126"/>
    <mergeCell ref="B63:J63"/>
    <mergeCell ref="L63:M63"/>
    <mergeCell ref="AM63:AM65"/>
    <mergeCell ref="H65:J65"/>
    <mergeCell ref="F127:F128"/>
    <mergeCell ref="H128:J128"/>
    <mergeCell ref="F66:F67"/>
    <mergeCell ref="H67:J67"/>
    <mergeCell ref="B124:J124"/>
  </mergeCells>
  <phoneticPr fontId="2"/>
  <pageMargins left="0.59055118110236227" right="0.59055118110236227" top="0.59055118110236227" bottom="0.59055118110236227" header="0.51181102362204722" footer="0.51181102362204722"/>
  <pageSetup paperSize="9" scale="69" orientation="landscape" verticalDpi="12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66"/>
  </sheetPr>
  <dimension ref="A1:BN350"/>
  <sheetViews>
    <sheetView zoomScale="80" zoomScaleNormal="80" workbookViewId="0">
      <pane xSplit="1" ySplit="2" topLeftCell="AJ146" activePane="bottomRight" state="frozen"/>
      <selection activeCell="O92" sqref="O92"/>
      <selection pane="topRight" activeCell="O92" sqref="O92"/>
      <selection pane="bottomLeft" activeCell="O92" sqref="O92"/>
      <selection pane="bottomRight" activeCell="Y152" sqref="Y152:Y155"/>
    </sheetView>
  </sheetViews>
  <sheetFormatPr defaultRowHeight="15"/>
  <cols>
    <col min="1" max="1" width="7.26953125" customWidth="1"/>
    <col min="13" max="16" width="5.36328125" customWidth="1"/>
    <col min="17" max="17" width="7.453125" bestFit="1" customWidth="1"/>
    <col min="18" max="19" width="4" style="1216" bestFit="1" customWidth="1"/>
    <col min="20" max="20" width="3.7265625" style="1216" bestFit="1" customWidth="1"/>
    <col min="21" max="21" width="5.26953125" style="1216" bestFit="1" customWidth="1"/>
    <col min="22" max="22" width="6.36328125" style="1216" bestFit="1" customWidth="1"/>
    <col min="23" max="23" width="3.6328125" customWidth="1"/>
    <col min="29" max="29" width="9.6328125" bestFit="1" customWidth="1"/>
    <col min="35" max="38" width="5.36328125" customWidth="1"/>
    <col min="39" max="39" width="7.453125" bestFit="1" customWidth="1"/>
    <col min="40" max="41" width="4" style="1216" bestFit="1" customWidth="1"/>
    <col min="42" max="42" width="3.7265625" style="1216" bestFit="1" customWidth="1"/>
    <col min="43" max="43" width="5.26953125" style="1216" bestFit="1" customWidth="1"/>
    <col min="44" max="44" width="6.36328125" style="1216" bestFit="1" customWidth="1"/>
    <col min="45" max="45" width="3.6328125" customWidth="1"/>
    <col min="57" max="60" width="5.36328125" customWidth="1"/>
    <col min="61" max="61" width="7.453125" bestFit="1" customWidth="1"/>
    <col min="62" max="63" width="4" style="1216" bestFit="1" customWidth="1"/>
    <col min="64" max="64" width="3.7265625" style="1216" bestFit="1" customWidth="1"/>
    <col min="65" max="65" width="5.26953125" style="1216" bestFit="1" customWidth="1"/>
    <col min="66" max="66" width="6.36328125" style="1216" bestFit="1" customWidth="1"/>
  </cols>
  <sheetData>
    <row r="1" spans="2:66" ht="39.75" customHeight="1">
      <c r="B1" s="1873" t="s">
        <v>526</v>
      </c>
      <c r="C1" s="1874"/>
      <c r="D1" s="1874"/>
      <c r="E1" s="1874"/>
      <c r="F1" s="1874"/>
      <c r="G1" s="1874"/>
      <c r="H1" s="1874"/>
      <c r="I1" s="1874"/>
      <c r="J1" s="1874"/>
      <c r="K1" s="1874"/>
      <c r="L1" s="1874"/>
      <c r="M1" s="1874"/>
      <c r="N1" s="1874"/>
      <c r="O1" s="1874"/>
      <c r="P1" s="1874"/>
      <c r="Q1" s="1874"/>
      <c r="R1" s="1874"/>
      <c r="S1" s="1874"/>
      <c r="T1" s="1874"/>
      <c r="U1" s="1874"/>
      <c r="V1" s="1874"/>
    </row>
    <row r="2" spans="2:66">
      <c r="B2" s="1228"/>
      <c r="C2" s="1876" t="s">
        <v>418</v>
      </c>
      <c r="D2" s="1877"/>
      <c r="E2" s="1877"/>
      <c r="F2" s="1877"/>
      <c r="G2" s="1877"/>
      <c r="H2" s="1877"/>
      <c r="I2" s="1877"/>
      <c r="J2" s="1877"/>
      <c r="K2" s="1877"/>
      <c r="L2" s="1877"/>
      <c r="M2" s="1877"/>
      <c r="N2" s="1877"/>
      <c r="O2" s="1877"/>
      <c r="P2" s="1877"/>
      <c r="Q2" s="1877"/>
      <c r="R2" s="1877"/>
      <c r="S2" s="1877"/>
      <c r="T2" s="1877"/>
      <c r="U2" s="1877"/>
      <c r="V2" s="1877"/>
    </row>
    <row r="3" spans="2:66">
      <c r="B3" s="1227"/>
      <c r="C3" s="1227"/>
      <c r="D3" s="1227"/>
      <c r="E3" s="1227"/>
      <c r="F3" s="1227"/>
      <c r="G3" s="1227"/>
      <c r="H3" s="1227"/>
      <c r="I3" s="1227"/>
      <c r="J3" s="1227"/>
      <c r="K3" s="1227"/>
      <c r="L3" s="1227"/>
      <c r="M3" s="1227"/>
      <c r="N3" s="1227"/>
      <c r="O3" s="1227"/>
      <c r="P3" s="1227"/>
      <c r="Q3" s="1227"/>
      <c r="R3" s="1227"/>
      <c r="S3" s="1227"/>
      <c r="T3" s="1227"/>
      <c r="U3" s="1227"/>
      <c r="V3" s="1227"/>
      <c r="AT3" s="1875"/>
      <c r="AU3" s="1875"/>
      <c r="AV3" s="1875"/>
      <c r="AW3" s="1875"/>
      <c r="AX3" s="1875"/>
      <c r="AY3" s="1875"/>
      <c r="AZ3" s="1875"/>
      <c r="BA3" s="1875"/>
      <c r="BB3" s="1875"/>
      <c r="BC3" s="1875"/>
      <c r="BD3" s="1875"/>
      <c r="BE3" s="1875"/>
      <c r="BF3" s="1875"/>
      <c r="BG3" s="1875"/>
      <c r="BH3" s="1875"/>
      <c r="BI3" s="1875"/>
      <c r="BJ3" s="1875"/>
      <c r="BK3" s="1875"/>
      <c r="BL3" s="1875"/>
      <c r="BM3" s="1875"/>
      <c r="BN3" s="1875"/>
    </row>
    <row r="4" spans="2:66">
      <c r="B4" s="1175"/>
      <c r="C4" s="1176" t="s">
        <v>417</v>
      </c>
      <c r="D4" s="1217" t="s">
        <v>396</v>
      </c>
      <c r="E4" s="1177"/>
      <c r="F4" s="1177" t="s">
        <v>373</v>
      </c>
      <c r="G4" s="1552">
        <v>46028</v>
      </c>
      <c r="H4" s="1167"/>
      <c r="I4" s="1167"/>
      <c r="J4" s="1179" t="s">
        <v>374</v>
      </c>
      <c r="K4" s="1165"/>
      <c r="L4" s="1165"/>
      <c r="M4" s="1165"/>
      <c r="N4" s="1165"/>
      <c r="O4" s="1165"/>
      <c r="P4" s="1165"/>
      <c r="Q4" s="1165"/>
      <c r="R4" s="1165"/>
      <c r="S4" s="1165"/>
      <c r="T4" s="1165"/>
      <c r="U4" s="1165"/>
      <c r="V4" s="1165"/>
      <c r="X4" s="1175"/>
      <c r="Y4" s="1176" t="s">
        <v>417</v>
      </c>
      <c r="Z4" s="1217" t="s">
        <v>411</v>
      </c>
      <c r="AA4" s="1177"/>
      <c r="AB4" s="1177" t="s">
        <v>373</v>
      </c>
      <c r="AC4" s="1552">
        <v>46038</v>
      </c>
      <c r="AD4" s="1167"/>
      <c r="AE4" s="1167"/>
      <c r="AF4" s="1179" t="s">
        <v>374</v>
      </c>
      <c r="AG4" s="1165"/>
      <c r="AH4" s="1165"/>
      <c r="AI4" s="1165"/>
      <c r="AJ4" s="1165"/>
      <c r="AK4" s="1165"/>
      <c r="AL4" s="1165"/>
      <c r="AM4" s="1165"/>
      <c r="AN4" s="1165"/>
      <c r="AO4" s="1165"/>
      <c r="AP4" s="1165"/>
      <c r="AQ4" s="1165"/>
      <c r="AR4" s="1165"/>
      <c r="AT4" s="1175"/>
      <c r="AU4" s="1176" t="s">
        <v>417</v>
      </c>
      <c r="AV4" s="1217" t="s">
        <v>408</v>
      </c>
      <c r="AW4" s="1177"/>
      <c r="AX4" s="1177" t="s">
        <v>373</v>
      </c>
      <c r="AY4" s="1178">
        <v>46048</v>
      </c>
      <c r="AZ4" s="1167"/>
      <c r="BA4" s="1167"/>
      <c r="BB4" s="1179" t="s">
        <v>374</v>
      </c>
      <c r="BC4" s="1165"/>
      <c r="BD4" s="1165"/>
      <c r="BE4" s="1165"/>
      <c r="BF4" s="1165"/>
      <c r="BG4" s="1165"/>
      <c r="BH4" s="1165"/>
      <c r="BI4" s="1165"/>
      <c r="BJ4" s="1165"/>
      <c r="BK4" s="1165"/>
      <c r="BL4" s="1165"/>
      <c r="BM4" s="1165"/>
      <c r="BN4" s="1165"/>
    </row>
    <row r="5" spans="2:66" ht="15.75" customHeight="1">
      <c r="B5" s="1180" t="s">
        <v>375</v>
      </c>
      <c r="C5" s="1181"/>
      <c r="D5" s="1220">
        <f>IF(J5="",#N/A,SUM(C11:L11,C16:L16,C21:L21,C26:L26,C31:L31))</f>
        <v>0</v>
      </c>
      <c r="E5" s="1183" t="s">
        <v>376</v>
      </c>
      <c r="F5" s="1184" t="s">
        <v>377</v>
      </c>
      <c r="G5" s="1181"/>
      <c r="H5" s="1182" t="s">
        <v>378</v>
      </c>
      <c r="I5" s="1181"/>
      <c r="J5" s="1220">
        <f>IF(AND(Q7="",Q12="",Q17="",Q22="",Q27=""),"",SUM(Q7:Q30))</f>
        <v>0</v>
      </c>
      <c r="K5" s="1183" t="s">
        <v>379</v>
      </c>
      <c r="L5" s="1185" t="s">
        <v>377</v>
      </c>
      <c r="M5" s="1866" t="s">
        <v>380</v>
      </c>
      <c r="N5" s="1867"/>
      <c r="O5" s="1867"/>
      <c r="P5" s="1867"/>
      <c r="Q5" s="1868"/>
      <c r="R5" s="1869" t="s">
        <v>389</v>
      </c>
      <c r="S5" s="1869" t="s">
        <v>390</v>
      </c>
      <c r="T5" s="1869" t="s">
        <v>391</v>
      </c>
      <c r="U5" s="1869" t="s">
        <v>392</v>
      </c>
      <c r="V5" s="1871" t="s">
        <v>393</v>
      </c>
      <c r="X5" s="1180" t="s">
        <v>375</v>
      </c>
      <c r="Y5" s="1181"/>
      <c r="Z5" s="1220">
        <f>IF(AF5="",#N/A,SUM(Y11:AH11,Y16:AH16,Y21:AH21,Y26:AH26,Y31:AH31))</f>
        <v>0</v>
      </c>
      <c r="AA5" s="1183" t="s">
        <v>376</v>
      </c>
      <c r="AB5" s="1184" t="s">
        <v>377</v>
      </c>
      <c r="AC5" s="1181"/>
      <c r="AD5" s="1182" t="s">
        <v>378</v>
      </c>
      <c r="AE5" s="1181"/>
      <c r="AF5" s="1220">
        <f>IF(AND(AM7="",AM12="",AM17="",AM22="",AM27=""),"",SUM(AM7:AM30))</f>
        <v>0</v>
      </c>
      <c r="AG5" s="1183" t="s">
        <v>379</v>
      </c>
      <c r="AH5" s="1185" t="s">
        <v>377</v>
      </c>
      <c r="AI5" s="1866" t="s">
        <v>380</v>
      </c>
      <c r="AJ5" s="1867"/>
      <c r="AK5" s="1867"/>
      <c r="AL5" s="1867"/>
      <c r="AM5" s="1868"/>
      <c r="AN5" s="1869" t="s">
        <v>389</v>
      </c>
      <c r="AO5" s="1869" t="s">
        <v>390</v>
      </c>
      <c r="AP5" s="1869" t="s">
        <v>391</v>
      </c>
      <c r="AQ5" s="1869" t="s">
        <v>392</v>
      </c>
      <c r="AR5" s="1871" t="s">
        <v>393</v>
      </c>
      <c r="AT5" s="1180" t="s">
        <v>375</v>
      </c>
      <c r="AU5" s="1181"/>
      <c r="AV5" s="1220">
        <f>IF(BB5="",#N/A,SUM(AU11:BD11,AU16:BD16,AU21:BD21,AU26:BD26,AU31:BD31))</f>
        <v>0</v>
      </c>
      <c r="AW5" s="1183" t="s">
        <v>376</v>
      </c>
      <c r="AX5" s="1184" t="s">
        <v>377</v>
      </c>
      <c r="AY5" s="1181"/>
      <c r="AZ5" s="1182" t="s">
        <v>378</v>
      </c>
      <c r="BA5" s="1181"/>
      <c r="BB5" s="1220">
        <f>IF(AND(BI7="",BI12="",BI17="",BI22="",BI27=""),"",SUM(BI7:BI30))</f>
        <v>0</v>
      </c>
      <c r="BC5" s="1183" t="s">
        <v>379</v>
      </c>
      <c r="BD5" s="1185" t="s">
        <v>377</v>
      </c>
      <c r="BE5" s="1866" t="s">
        <v>380</v>
      </c>
      <c r="BF5" s="1867"/>
      <c r="BG5" s="1867"/>
      <c r="BH5" s="1867"/>
      <c r="BI5" s="1868"/>
      <c r="BJ5" s="1869" t="s">
        <v>389</v>
      </c>
      <c r="BK5" s="1869" t="s">
        <v>390</v>
      </c>
      <c r="BL5" s="1869" t="s">
        <v>391</v>
      </c>
      <c r="BM5" s="1869" t="s">
        <v>392</v>
      </c>
      <c r="BN5" s="1871" t="s">
        <v>393</v>
      </c>
    </row>
    <row r="6" spans="2:66" ht="13.5">
      <c r="B6" s="1186" t="s">
        <v>381</v>
      </c>
      <c r="C6" s="1187">
        <v>1</v>
      </c>
      <c r="D6" s="1218">
        <v>2</v>
      </c>
      <c r="E6" s="1188">
        <v>3</v>
      </c>
      <c r="F6" s="1188">
        <v>4</v>
      </c>
      <c r="G6" s="1188">
        <v>5</v>
      </c>
      <c r="H6" s="1188">
        <v>6</v>
      </c>
      <c r="I6" s="1218">
        <v>7</v>
      </c>
      <c r="J6" s="1218">
        <v>8</v>
      </c>
      <c r="K6" s="1218">
        <v>9</v>
      </c>
      <c r="L6" s="1219">
        <v>10</v>
      </c>
      <c r="M6" s="1189" t="s">
        <v>382</v>
      </c>
      <c r="N6" s="1190" t="s">
        <v>383</v>
      </c>
      <c r="O6" s="1191" t="s">
        <v>384</v>
      </c>
      <c r="P6" s="1192" t="s">
        <v>385</v>
      </c>
      <c r="Q6" s="1193" t="s">
        <v>386</v>
      </c>
      <c r="R6" s="1870"/>
      <c r="S6" s="1870"/>
      <c r="T6" s="1870"/>
      <c r="U6" s="1870"/>
      <c r="V6" s="1872"/>
      <c r="X6" s="1186" t="s">
        <v>381</v>
      </c>
      <c r="Y6" s="1187">
        <v>1</v>
      </c>
      <c r="Z6" s="1218">
        <v>2</v>
      </c>
      <c r="AA6" s="1188">
        <v>3</v>
      </c>
      <c r="AB6" s="1188">
        <v>4</v>
      </c>
      <c r="AC6" s="1188">
        <v>5</v>
      </c>
      <c r="AD6" s="1188">
        <v>6</v>
      </c>
      <c r="AE6" s="1218">
        <v>7</v>
      </c>
      <c r="AF6" s="1218">
        <v>8</v>
      </c>
      <c r="AG6" s="1218">
        <v>9</v>
      </c>
      <c r="AH6" s="1219">
        <v>10</v>
      </c>
      <c r="AI6" s="1189" t="s">
        <v>382</v>
      </c>
      <c r="AJ6" s="1190" t="s">
        <v>383</v>
      </c>
      <c r="AK6" s="1191" t="s">
        <v>384</v>
      </c>
      <c r="AL6" s="1192" t="s">
        <v>385</v>
      </c>
      <c r="AM6" s="1193" t="s">
        <v>386</v>
      </c>
      <c r="AN6" s="1870"/>
      <c r="AO6" s="1870"/>
      <c r="AP6" s="1870"/>
      <c r="AQ6" s="1870"/>
      <c r="AR6" s="1872"/>
      <c r="AT6" s="1186" t="s">
        <v>381</v>
      </c>
      <c r="AU6" s="1187">
        <v>1</v>
      </c>
      <c r="AV6" s="1218">
        <v>2</v>
      </c>
      <c r="AW6" s="1188">
        <v>3</v>
      </c>
      <c r="AX6" s="1188">
        <v>4</v>
      </c>
      <c r="AY6" s="1188">
        <v>5</v>
      </c>
      <c r="AZ6" s="1188">
        <v>6</v>
      </c>
      <c r="BA6" s="1218">
        <v>7</v>
      </c>
      <c r="BB6" s="1218">
        <v>8</v>
      </c>
      <c r="BC6" s="1218">
        <v>9</v>
      </c>
      <c r="BD6" s="1219">
        <v>10</v>
      </c>
      <c r="BE6" s="1189" t="s">
        <v>382</v>
      </c>
      <c r="BF6" s="1190" t="s">
        <v>383</v>
      </c>
      <c r="BG6" s="1191" t="s">
        <v>384</v>
      </c>
      <c r="BH6" s="1192" t="s">
        <v>385</v>
      </c>
      <c r="BI6" s="1193" t="s">
        <v>386</v>
      </c>
      <c r="BJ6" s="1870"/>
      <c r="BK6" s="1870"/>
      <c r="BL6" s="1870"/>
      <c r="BM6" s="1870"/>
      <c r="BN6" s="1872"/>
    </row>
    <row r="7" spans="2:66" ht="14.25" customHeight="1">
      <c r="B7" s="1194" t="s">
        <v>387</v>
      </c>
      <c r="C7" s="1195">
        <v>0</v>
      </c>
      <c r="D7" s="1196"/>
      <c r="E7" s="1196"/>
      <c r="F7" s="1196"/>
      <c r="G7" s="1196"/>
      <c r="H7" s="1196"/>
      <c r="I7" s="1196"/>
      <c r="J7" s="1196"/>
      <c r="K7" s="1196"/>
      <c r="L7" s="1197"/>
      <c r="M7" s="1858">
        <f>SUM(C7:L7)</f>
        <v>0</v>
      </c>
      <c r="N7" s="1860">
        <f>SUM(C8:L8)</f>
        <v>0</v>
      </c>
      <c r="O7" s="1860">
        <f>SUM(C9:L9)</f>
        <v>0</v>
      </c>
      <c r="P7" s="1862">
        <f>SUM(C10:L10)</f>
        <v>0</v>
      </c>
      <c r="Q7" s="1854">
        <f>IF(G4="","",SUM(N7:P11))</f>
        <v>0</v>
      </c>
      <c r="R7" s="1856"/>
      <c r="S7" s="1856"/>
      <c r="T7" s="1856"/>
      <c r="U7" s="1856"/>
      <c r="V7" s="1864" t="s">
        <v>480</v>
      </c>
      <c r="X7" s="1194" t="s">
        <v>387</v>
      </c>
      <c r="Y7" s="1195">
        <v>0</v>
      </c>
      <c r="Z7" s="1196"/>
      <c r="AA7" s="1196"/>
      <c r="AB7" s="1196"/>
      <c r="AC7" s="1196"/>
      <c r="AD7" s="1196"/>
      <c r="AE7" s="1196"/>
      <c r="AF7" s="1196"/>
      <c r="AG7" s="1196"/>
      <c r="AH7" s="1197"/>
      <c r="AI7" s="1858">
        <f>SUM(Y7:AH7)</f>
        <v>0</v>
      </c>
      <c r="AJ7" s="1860">
        <f>SUM(Y8:AH8)</f>
        <v>0</v>
      </c>
      <c r="AK7" s="1860">
        <f>SUM(Y9:AH9)</f>
        <v>0</v>
      </c>
      <c r="AL7" s="1862">
        <f>SUM(Y10:AH10)</f>
        <v>0</v>
      </c>
      <c r="AM7" s="1854">
        <f>IF(AC4="","",SUM(AJ7:AL11))</f>
        <v>0</v>
      </c>
      <c r="AN7" s="1856"/>
      <c r="AO7" s="1856"/>
      <c r="AP7" s="1856"/>
      <c r="AQ7" s="1856"/>
      <c r="AR7" s="1864" t="s">
        <v>480</v>
      </c>
      <c r="AT7" s="1194" t="s">
        <v>387</v>
      </c>
      <c r="AU7" s="1195">
        <v>0</v>
      </c>
      <c r="AV7" s="1196"/>
      <c r="AW7" s="1196"/>
      <c r="AX7" s="1196"/>
      <c r="AY7" s="1196"/>
      <c r="AZ7" s="1196"/>
      <c r="BA7" s="1196"/>
      <c r="BB7" s="1196"/>
      <c r="BC7" s="1196"/>
      <c r="BD7" s="1197"/>
      <c r="BE7" s="1858">
        <f>SUM(AU7:BD7)</f>
        <v>0</v>
      </c>
      <c r="BF7" s="1860">
        <f>SUM(AU8:BD8)</f>
        <v>0</v>
      </c>
      <c r="BG7" s="1860">
        <f>SUM(AU9:BD9)</f>
        <v>0</v>
      </c>
      <c r="BH7" s="1862">
        <f>SUM(AU10:BD10)</f>
        <v>0</v>
      </c>
      <c r="BI7" s="1854">
        <f>IF(AY4="","",SUM(BF7:BH11))</f>
        <v>0</v>
      </c>
      <c r="BJ7" s="1856"/>
      <c r="BK7" s="1856"/>
      <c r="BL7" s="1856"/>
      <c r="BM7" s="1856"/>
      <c r="BN7" s="1864" t="s">
        <v>480</v>
      </c>
    </row>
    <row r="8" spans="2:66" ht="13.5">
      <c r="B8" s="1198" t="s">
        <v>383</v>
      </c>
      <c r="C8" s="1199">
        <v>0</v>
      </c>
      <c r="D8" s="1200"/>
      <c r="E8" s="1200"/>
      <c r="F8" s="1200"/>
      <c r="G8" s="1200"/>
      <c r="H8" s="1200"/>
      <c r="I8" s="1200"/>
      <c r="J8" s="1200"/>
      <c r="K8" s="1200"/>
      <c r="L8" s="1201"/>
      <c r="M8" s="1843"/>
      <c r="N8" s="1846"/>
      <c r="O8" s="1846"/>
      <c r="P8" s="1849"/>
      <c r="Q8" s="1852"/>
      <c r="R8" s="1840"/>
      <c r="S8" s="1840"/>
      <c r="T8" s="1840"/>
      <c r="U8" s="1840"/>
      <c r="V8" s="1837"/>
      <c r="X8" s="1198" t="s">
        <v>383</v>
      </c>
      <c r="Y8" s="1199">
        <v>0</v>
      </c>
      <c r="Z8" s="1200"/>
      <c r="AA8" s="1200"/>
      <c r="AB8" s="1200"/>
      <c r="AC8" s="1200"/>
      <c r="AD8" s="1200"/>
      <c r="AE8" s="1200"/>
      <c r="AF8" s="1200"/>
      <c r="AG8" s="1200"/>
      <c r="AH8" s="1201"/>
      <c r="AI8" s="1843"/>
      <c r="AJ8" s="1846"/>
      <c r="AK8" s="1846"/>
      <c r="AL8" s="1849"/>
      <c r="AM8" s="1852"/>
      <c r="AN8" s="1840"/>
      <c r="AO8" s="1840"/>
      <c r="AP8" s="1840"/>
      <c r="AQ8" s="1840"/>
      <c r="AR8" s="1837"/>
      <c r="AT8" s="1198" t="s">
        <v>383</v>
      </c>
      <c r="AU8" s="1199">
        <v>0</v>
      </c>
      <c r="AV8" s="1200"/>
      <c r="AW8" s="1200"/>
      <c r="AX8" s="1200"/>
      <c r="AY8" s="1200"/>
      <c r="AZ8" s="1200"/>
      <c r="BA8" s="1200"/>
      <c r="BB8" s="1200"/>
      <c r="BC8" s="1200"/>
      <c r="BD8" s="1201"/>
      <c r="BE8" s="1843"/>
      <c r="BF8" s="1846"/>
      <c r="BG8" s="1846"/>
      <c r="BH8" s="1849"/>
      <c r="BI8" s="1852"/>
      <c r="BJ8" s="1840"/>
      <c r="BK8" s="1840"/>
      <c r="BL8" s="1840"/>
      <c r="BM8" s="1840"/>
      <c r="BN8" s="1837"/>
    </row>
    <row r="9" spans="2:66" ht="13.5">
      <c r="B9" s="1202" t="s">
        <v>384</v>
      </c>
      <c r="C9" s="1203"/>
      <c r="D9" s="1204"/>
      <c r="E9" s="1204"/>
      <c r="F9" s="1204"/>
      <c r="G9" s="1204"/>
      <c r="H9" s="1204"/>
      <c r="I9" s="1204"/>
      <c r="J9" s="1204"/>
      <c r="K9" s="1204"/>
      <c r="L9" s="1205"/>
      <c r="M9" s="1843"/>
      <c r="N9" s="1846"/>
      <c r="O9" s="1846"/>
      <c r="P9" s="1849"/>
      <c r="Q9" s="1852"/>
      <c r="R9" s="1840"/>
      <c r="S9" s="1840"/>
      <c r="T9" s="1840"/>
      <c r="U9" s="1840"/>
      <c r="V9" s="1837"/>
      <c r="X9" s="1202" t="s">
        <v>384</v>
      </c>
      <c r="Y9" s="1203"/>
      <c r="Z9" s="1204"/>
      <c r="AA9" s="1204"/>
      <c r="AB9" s="1204"/>
      <c r="AC9" s="1204"/>
      <c r="AD9" s="1204"/>
      <c r="AE9" s="1204"/>
      <c r="AF9" s="1204"/>
      <c r="AG9" s="1204"/>
      <c r="AH9" s="1205"/>
      <c r="AI9" s="1843"/>
      <c r="AJ9" s="1846"/>
      <c r="AK9" s="1846"/>
      <c r="AL9" s="1849"/>
      <c r="AM9" s="1852"/>
      <c r="AN9" s="1840"/>
      <c r="AO9" s="1840"/>
      <c r="AP9" s="1840"/>
      <c r="AQ9" s="1840"/>
      <c r="AR9" s="1837"/>
      <c r="AT9" s="1202" t="s">
        <v>384</v>
      </c>
      <c r="AU9" s="1203"/>
      <c r="AV9" s="1204"/>
      <c r="AW9" s="1204"/>
      <c r="AX9" s="1204"/>
      <c r="AY9" s="1204"/>
      <c r="AZ9" s="1204"/>
      <c r="BA9" s="1204"/>
      <c r="BB9" s="1204"/>
      <c r="BC9" s="1204"/>
      <c r="BD9" s="1205"/>
      <c r="BE9" s="1843"/>
      <c r="BF9" s="1846"/>
      <c r="BG9" s="1846"/>
      <c r="BH9" s="1849"/>
      <c r="BI9" s="1852"/>
      <c r="BJ9" s="1840"/>
      <c r="BK9" s="1840"/>
      <c r="BL9" s="1840"/>
      <c r="BM9" s="1840"/>
      <c r="BN9" s="1837"/>
    </row>
    <row r="10" spans="2:66" ht="13.5">
      <c r="B10" s="1206" t="s">
        <v>385</v>
      </c>
      <c r="C10" s="1207">
        <v>0</v>
      </c>
      <c r="D10" s="1208"/>
      <c r="E10" s="1208"/>
      <c r="F10" s="1208"/>
      <c r="G10" s="1208"/>
      <c r="H10" s="1208"/>
      <c r="I10" s="1208"/>
      <c r="J10" s="1208"/>
      <c r="K10" s="1208"/>
      <c r="L10" s="1209"/>
      <c r="M10" s="1843"/>
      <c r="N10" s="1846"/>
      <c r="O10" s="1846"/>
      <c r="P10" s="1849"/>
      <c r="Q10" s="1852"/>
      <c r="R10" s="1840"/>
      <c r="S10" s="1840"/>
      <c r="T10" s="1840"/>
      <c r="U10" s="1840"/>
      <c r="V10" s="1837"/>
      <c r="X10" s="1206" t="s">
        <v>385</v>
      </c>
      <c r="Y10" s="1207">
        <v>0</v>
      </c>
      <c r="Z10" s="1208"/>
      <c r="AA10" s="1208"/>
      <c r="AB10" s="1208"/>
      <c r="AC10" s="1208"/>
      <c r="AD10" s="1208"/>
      <c r="AE10" s="1208"/>
      <c r="AF10" s="1208"/>
      <c r="AG10" s="1208"/>
      <c r="AH10" s="1209"/>
      <c r="AI10" s="1843"/>
      <c r="AJ10" s="1846"/>
      <c r="AK10" s="1846"/>
      <c r="AL10" s="1849"/>
      <c r="AM10" s="1852"/>
      <c r="AN10" s="1840"/>
      <c r="AO10" s="1840"/>
      <c r="AP10" s="1840"/>
      <c r="AQ10" s="1840"/>
      <c r="AR10" s="1837"/>
      <c r="AT10" s="1206" t="s">
        <v>385</v>
      </c>
      <c r="AU10" s="1207">
        <v>0</v>
      </c>
      <c r="AV10" s="1208"/>
      <c r="AW10" s="1208"/>
      <c r="AX10" s="1208"/>
      <c r="AY10" s="1208"/>
      <c r="AZ10" s="1208"/>
      <c r="BA10" s="1208"/>
      <c r="BB10" s="1208"/>
      <c r="BC10" s="1208"/>
      <c r="BD10" s="1209"/>
      <c r="BE10" s="1843"/>
      <c r="BF10" s="1846"/>
      <c r="BG10" s="1846"/>
      <c r="BH10" s="1849"/>
      <c r="BI10" s="1852"/>
      <c r="BJ10" s="1840"/>
      <c r="BK10" s="1840"/>
      <c r="BL10" s="1840"/>
      <c r="BM10" s="1840"/>
      <c r="BN10" s="1837"/>
    </row>
    <row r="11" spans="2:66" ht="14" thickBot="1">
      <c r="B11" s="1210" t="s">
        <v>388</v>
      </c>
      <c r="C11" s="1221" t="str">
        <f>IF(OR(C8&gt;0,C9&gt;0,C10&gt;0),1,"")</f>
        <v/>
      </c>
      <c r="D11" s="1222" t="str">
        <f>IF(OR(D8&gt;0,D9&gt;0,D10&gt;0),1,"")</f>
        <v/>
      </c>
      <c r="E11" s="1222" t="str">
        <f t="shared" ref="E11:L11" si="0">IF(OR(E8&gt;0,E9&gt;0,E10&gt;0),1,"")</f>
        <v/>
      </c>
      <c r="F11" s="1222" t="str">
        <f t="shared" si="0"/>
        <v/>
      </c>
      <c r="G11" s="1222" t="str">
        <f t="shared" si="0"/>
        <v/>
      </c>
      <c r="H11" s="1222" t="str">
        <f t="shared" si="0"/>
        <v/>
      </c>
      <c r="I11" s="1222" t="str">
        <f t="shared" si="0"/>
        <v/>
      </c>
      <c r="J11" s="1222" t="str">
        <f t="shared" si="0"/>
        <v/>
      </c>
      <c r="K11" s="1222" t="str">
        <f t="shared" si="0"/>
        <v/>
      </c>
      <c r="L11" s="1222" t="str">
        <f t="shared" si="0"/>
        <v/>
      </c>
      <c r="M11" s="1859"/>
      <c r="N11" s="1861"/>
      <c r="O11" s="1861"/>
      <c r="P11" s="1863"/>
      <c r="Q11" s="1855"/>
      <c r="R11" s="1857"/>
      <c r="S11" s="1857"/>
      <c r="T11" s="1857"/>
      <c r="U11" s="1857"/>
      <c r="V11" s="1865"/>
      <c r="X11" s="1210" t="s">
        <v>388</v>
      </c>
      <c r="Y11" s="1221" t="str">
        <f>IF(OR(Y8&gt;0,Y9&gt;0,Y10&gt;0),1,"")</f>
        <v/>
      </c>
      <c r="Z11" s="1222" t="str">
        <f>IF(OR(Z8&gt;0,Z9&gt;0,Z10&gt;0),1,"")</f>
        <v/>
      </c>
      <c r="AA11" s="1222" t="str">
        <f t="shared" ref="AA11:AH11" si="1">IF(OR(AA8&gt;0,AA9&gt;0,AA10&gt;0),1,"")</f>
        <v/>
      </c>
      <c r="AB11" s="1222" t="str">
        <f t="shared" si="1"/>
        <v/>
      </c>
      <c r="AC11" s="1222" t="str">
        <f t="shared" si="1"/>
        <v/>
      </c>
      <c r="AD11" s="1222" t="str">
        <f t="shared" si="1"/>
        <v/>
      </c>
      <c r="AE11" s="1222" t="str">
        <f t="shared" si="1"/>
        <v/>
      </c>
      <c r="AF11" s="1222" t="str">
        <f t="shared" si="1"/>
        <v/>
      </c>
      <c r="AG11" s="1222" t="str">
        <f t="shared" si="1"/>
        <v/>
      </c>
      <c r="AH11" s="1222" t="str">
        <f t="shared" si="1"/>
        <v/>
      </c>
      <c r="AI11" s="1859"/>
      <c r="AJ11" s="1861"/>
      <c r="AK11" s="1861"/>
      <c r="AL11" s="1863"/>
      <c r="AM11" s="1855"/>
      <c r="AN11" s="1857"/>
      <c r="AO11" s="1857"/>
      <c r="AP11" s="1857"/>
      <c r="AQ11" s="1857"/>
      <c r="AR11" s="1865"/>
      <c r="AT11" s="1210" t="s">
        <v>388</v>
      </c>
      <c r="AU11" s="1221" t="str">
        <f>IF(OR(AU8&gt;0,AU9&gt;0,AU10&gt;0),1,"")</f>
        <v/>
      </c>
      <c r="AV11" s="1222" t="str">
        <f>IF(OR(AV8&gt;0,AV9&gt;0,AV10&gt;0),1,"")</f>
        <v/>
      </c>
      <c r="AW11" s="1222" t="str">
        <f t="shared" ref="AW11:BD11" si="2">IF(OR(AW8&gt;0,AW9&gt;0,AW10&gt;0),1,"")</f>
        <v/>
      </c>
      <c r="AX11" s="1222" t="str">
        <f t="shared" si="2"/>
        <v/>
      </c>
      <c r="AY11" s="1222" t="str">
        <f t="shared" si="2"/>
        <v/>
      </c>
      <c r="AZ11" s="1222" t="str">
        <f t="shared" si="2"/>
        <v/>
      </c>
      <c r="BA11" s="1222" t="str">
        <f t="shared" si="2"/>
        <v/>
      </c>
      <c r="BB11" s="1222" t="str">
        <f t="shared" si="2"/>
        <v/>
      </c>
      <c r="BC11" s="1222" t="str">
        <f t="shared" si="2"/>
        <v/>
      </c>
      <c r="BD11" s="1222" t="str">
        <f t="shared" si="2"/>
        <v/>
      </c>
      <c r="BE11" s="1859"/>
      <c r="BF11" s="1861"/>
      <c r="BG11" s="1861"/>
      <c r="BH11" s="1863"/>
      <c r="BI11" s="1855"/>
      <c r="BJ11" s="1857"/>
      <c r="BK11" s="1857"/>
      <c r="BL11" s="1857"/>
      <c r="BM11" s="1857"/>
      <c r="BN11" s="1865"/>
    </row>
    <row r="12" spans="2:66" ht="15" customHeight="1" thickTop="1">
      <c r="B12" s="1211" t="s">
        <v>387</v>
      </c>
      <c r="C12" s="1212"/>
      <c r="D12" s="1213"/>
      <c r="E12" s="1213"/>
      <c r="F12" s="1213"/>
      <c r="G12" s="1213"/>
      <c r="H12" s="1213"/>
      <c r="I12" s="1213"/>
      <c r="J12" s="1213"/>
      <c r="K12" s="1213"/>
      <c r="L12" s="1214"/>
      <c r="M12" s="1858">
        <f>SUM(C12:L12)</f>
        <v>0</v>
      </c>
      <c r="N12" s="1860">
        <f>SUM(C13:L13)</f>
        <v>0</v>
      </c>
      <c r="O12" s="1860">
        <f>SUM(C14:L14)</f>
        <v>0</v>
      </c>
      <c r="P12" s="1862">
        <f>SUM(C15:L15)</f>
        <v>0</v>
      </c>
      <c r="Q12" s="1854">
        <f>IF(G4="","",SUM(N12:P16))</f>
        <v>0</v>
      </c>
      <c r="R12" s="1856"/>
      <c r="S12" s="1856"/>
      <c r="T12" s="1856"/>
      <c r="U12" s="1856"/>
      <c r="V12" s="1864" t="s">
        <v>395</v>
      </c>
      <c r="X12" s="1211" t="s">
        <v>387</v>
      </c>
      <c r="Y12" s="1212"/>
      <c r="Z12" s="1213"/>
      <c r="AA12" s="1213"/>
      <c r="AB12" s="1213"/>
      <c r="AC12" s="1213"/>
      <c r="AD12" s="1213"/>
      <c r="AE12" s="1213"/>
      <c r="AF12" s="1213"/>
      <c r="AG12" s="1213"/>
      <c r="AH12" s="1214"/>
      <c r="AI12" s="1858">
        <f>SUM(Y12:AH12)</f>
        <v>0</v>
      </c>
      <c r="AJ12" s="1860">
        <f>SUM(Y13:AH13)</f>
        <v>0</v>
      </c>
      <c r="AK12" s="1860">
        <f>SUM(Y14:AH14)</f>
        <v>0</v>
      </c>
      <c r="AL12" s="1862">
        <f>SUM(Y15:AH15)</f>
        <v>0</v>
      </c>
      <c r="AM12" s="1854">
        <f>IF(AC4="","",SUM(AJ12:AL16))</f>
        <v>0</v>
      </c>
      <c r="AN12" s="1856"/>
      <c r="AO12" s="1856"/>
      <c r="AP12" s="1856"/>
      <c r="AQ12" s="1856"/>
      <c r="AR12" s="1864" t="s">
        <v>395</v>
      </c>
      <c r="AT12" s="1211" t="s">
        <v>387</v>
      </c>
      <c r="AU12" s="1212"/>
      <c r="AV12" s="1213"/>
      <c r="AW12" s="1213"/>
      <c r="AX12" s="1213"/>
      <c r="AY12" s="1213"/>
      <c r="AZ12" s="1213"/>
      <c r="BA12" s="1213"/>
      <c r="BB12" s="1213"/>
      <c r="BC12" s="1213"/>
      <c r="BD12" s="1214"/>
      <c r="BE12" s="1858">
        <f>SUM(AU12:BD12)</f>
        <v>0</v>
      </c>
      <c r="BF12" s="1860">
        <f>SUM(AU13:BD13)</f>
        <v>0</v>
      </c>
      <c r="BG12" s="1860">
        <f>SUM(AU14:BD14)</f>
        <v>0</v>
      </c>
      <c r="BH12" s="1862">
        <f>SUM(AU15:BD15)</f>
        <v>0</v>
      </c>
      <c r="BI12" s="1854">
        <f>IF(AY4="","",SUM(BF12:BH16))</f>
        <v>0</v>
      </c>
      <c r="BJ12" s="1856"/>
      <c r="BK12" s="1856"/>
      <c r="BL12" s="1856"/>
      <c r="BM12" s="1856"/>
      <c r="BN12" s="1864" t="s">
        <v>395</v>
      </c>
    </row>
    <row r="13" spans="2:66" ht="13.5">
      <c r="B13" s="1198" t="s">
        <v>383</v>
      </c>
      <c r="C13" s="1199"/>
      <c r="D13" s="1200"/>
      <c r="E13" s="1200"/>
      <c r="F13" s="1200"/>
      <c r="G13" s="1200"/>
      <c r="H13" s="1200"/>
      <c r="I13" s="1200"/>
      <c r="J13" s="1200"/>
      <c r="K13" s="1200"/>
      <c r="L13" s="1201"/>
      <c r="M13" s="1843"/>
      <c r="N13" s="1846"/>
      <c r="O13" s="1846"/>
      <c r="P13" s="1849"/>
      <c r="Q13" s="1852"/>
      <c r="R13" s="1840"/>
      <c r="S13" s="1840"/>
      <c r="T13" s="1840"/>
      <c r="U13" s="1840"/>
      <c r="V13" s="1837"/>
      <c r="X13" s="1198" t="s">
        <v>383</v>
      </c>
      <c r="Y13" s="1199"/>
      <c r="Z13" s="1200"/>
      <c r="AA13" s="1200"/>
      <c r="AB13" s="1200"/>
      <c r="AC13" s="1200"/>
      <c r="AD13" s="1200"/>
      <c r="AE13" s="1200"/>
      <c r="AF13" s="1200"/>
      <c r="AG13" s="1200"/>
      <c r="AH13" s="1201"/>
      <c r="AI13" s="1843"/>
      <c r="AJ13" s="1846"/>
      <c r="AK13" s="1846"/>
      <c r="AL13" s="1849"/>
      <c r="AM13" s="1852"/>
      <c r="AN13" s="1840"/>
      <c r="AO13" s="1840"/>
      <c r="AP13" s="1840"/>
      <c r="AQ13" s="1840"/>
      <c r="AR13" s="1837"/>
      <c r="AT13" s="1198" t="s">
        <v>383</v>
      </c>
      <c r="AU13" s="1199"/>
      <c r="AV13" s="1200"/>
      <c r="AW13" s="1200"/>
      <c r="AX13" s="1200"/>
      <c r="AY13" s="1200"/>
      <c r="AZ13" s="1200"/>
      <c r="BA13" s="1200"/>
      <c r="BB13" s="1200"/>
      <c r="BC13" s="1200"/>
      <c r="BD13" s="1201"/>
      <c r="BE13" s="1843"/>
      <c r="BF13" s="1846"/>
      <c r="BG13" s="1846"/>
      <c r="BH13" s="1849"/>
      <c r="BI13" s="1852"/>
      <c r="BJ13" s="1840"/>
      <c r="BK13" s="1840"/>
      <c r="BL13" s="1840"/>
      <c r="BM13" s="1840"/>
      <c r="BN13" s="1837"/>
    </row>
    <row r="14" spans="2:66" ht="13.5">
      <c r="B14" s="1202" t="s">
        <v>384</v>
      </c>
      <c r="C14" s="1203"/>
      <c r="D14" s="1204"/>
      <c r="E14" s="1204"/>
      <c r="F14" s="1204"/>
      <c r="G14" s="1204"/>
      <c r="H14" s="1204"/>
      <c r="I14" s="1204"/>
      <c r="J14" s="1204"/>
      <c r="K14" s="1204"/>
      <c r="L14" s="1205"/>
      <c r="M14" s="1843"/>
      <c r="N14" s="1846"/>
      <c r="O14" s="1846"/>
      <c r="P14" s="1849"/>
      <c r="Q14" s="1852"/>
      <c r="R14" s="1840"/>
      <c r="S14" s="1840"/>
      <c r="T14" s="1840"/>
      <c r="U14" s="1840"/>
      <c r="V14" s="1837"/>
      <c r="X14" s="1202" t="s">
        <v>384</v>
      </c>
      <c r="Y14" s="1203"/>
      <c r="Z14" s="1204"/>
      <c r="AA14" s="1204"/>
      <c r="AB14" s="1204"/>
      <c r="AC14" s="1204"/>
      <c r="AD14" s="1204"/>
      <c r="AE14" s="1204"/>
      <c r="AF14" s="1204"/>
      <c r="AG14" s="1204"/>
      <c r="AH14" s="1205"/>
      <c r="AI14" s="1843"/>
      <c r="AJ14" s="1846"/>
      <c r="AK14" s="1846"/>
      <c r="AL14" s="1849"/>
      <c r="AM14" s="1852"/>
      <c r="AN14" s="1840"/>
      <c r="AO14" s="1840"/>
      <c r="AP14" s="1840"/>
      <c r="AQ14" s="1840"/>
      <c r="AR14" s="1837"/>
      <c r="AT14" s="1202" t="s">
        <v>384</v>
      </c>
      <c r="AU14" s="1203"/>
      <c r="AV14" s="1204"/>
      <c r="AW14" s="1204"/>
      <c r="AX14" s="1204"/>
      <c r="AY14" s="1204"/>
      <c r="AZ14" s="1204"/>
      <c r="BA14" s="1204"/>
      <c r="BB14" s="1204"/>
      <c r="BC14" s="1204"/>
      <c r="BD14" s="1205"/>
      <c r="BE14" s="1843"/>
      <c r="BF14" s="1846"/>
      <c r="BG14" s="1846"/>
      <c r="BH14" s="1849"/>
      <c r="BI14" s="1852"/>
      <c r="BJ14" s="1840"/>
      <c r="BK14" s="1840"/>
      <c r="BL14" s="1840"/>
      <c r="BM14" s="1840"/>
      <c r="BN14" s="1837"/>
    </row>
    <row r="15" spans="2:66" ht="13.5">
      <c r="B15" s="1202" t="s">
        <v>385</v>
      </c>
      <c r="C15" s="1203"/>
      <c r="D15" s="1204"/>
      <c r="E15" s="1204"/>
      <c r="F15" s="1204"/>
      <c r="G15" s="1204"/>
      <c r="H15" s="1204"/>
      <c r="I15" s="1204"/>
      <c r="J15" s="1204"/>
      <c r="K15" s="1204"/>
      <c r="L15" s="1205"/>
      <c r="M15" s="1843"/>
      <c r="N15" s="1846"/>
      <c r="O15" s="1846"/>
      <c r="P15" s="1849"/>
      <c r="Q15" s="1852"/>
      <c r="R15" s="1840"/>
      <c r="S15" s="1840"/>
      <c r="T15" s="1840"/>
      <c r="U15" s="1840"/>
      <c r="V15" s="1837"/>
      <c r="X15" s="1202" t="s">
        <v>385</v>
      </c>
      <c r="Y15" s="1203"/>
      <c r="Z15" s="1204"/>
      <c r="AA15" s="1204"/>
      <c r="AB15" s="1204"/>
      <c r="AC15" s="1204"/>
      <c r="AD15" s="1204"/>
      <c r="AE15" s="1204"/>
      <c r="AF15" s="1204"/>
      <c r="AG15" s="1204"/>
      <c r="AH15" s="1205"/>
      <c r="AI15" s="1843"/>
      <c r="AJ15" s="1846"/>
      <c r="AK15" s="1846"/>
      <c r="AL15" s="1849"/>
      <c r="AM15" s="1852"/>
      <c r="AN15" s="1840"/>
      <c r="AO15" s="1840"/>
      <c r="AP15" s="1840"/>
      <c r="AQ15" s="1840"/>
      <c r="AR15" s="1837"/>
      <c r="AT15" s="1202" t="s">
        <v>385</v>
      </c>
      <c r="AU15" s="1203"/>
      <c r="AV15" s="1204"/>
      <c r="AW15" s="1204"/>
      <c r="AX15" s="1204"/>
      <c r="AY15" s="1204"/>
      <c r="AZ15" s="1204"/>
      <c r="BA15" s="1204"/>
      <c r="BB15" s="1204"/>
      <c r="BC15" s="1204"/>
      <c r="BD15" s="1205"/>
      <c r="BE15" s="1843"/>
      <c r="BF15" s="1846"/>
      <c r="BG15" s="1846"/>
      <c r="BH15" s="1849"/>
      <c r="BI15" s="1852"/>
      <c r="BJ15" s="1840"/>
      <c r="BK15" s="1840"/>
      <c r="BL15" s="1840"/>
      <c r="BM15" s="1840"/>
      <c r="BN15" s="1837"/>
    </row>
    <row r="16" spans="2:66" ht="14" thickBot="1">
      <c r="B16" s="1210" t="s">
        <v>388</v>
      </c>
      <c r="C16" s="1221" t="str">
        <f>IF(OR(C13&gt;0,C14&gt;0,C15&gt;0),1,"")</f>
        <v/>
      </c>
      <c r="D16" s="1222" t="str">
        <f>IF(OR(D13&gt;0,D14&gt;0,D15&gt;0),1,"")</f>
        <v/>
      </c>
      <c r="E16" s="1222" t="str">
        <f t="shared" ref="E16:L16" si="3">IF(OR(E13&gt;0,E14&gt;0,E15&gt;0),1,"")</f>
        <v/>
      </c>
      <c r="F16" s="1222" t="str">
        <f t="shared" si="3"/>
        <v/>
      </c>
      <c r="G16" s="1222" t="str">
        <f t="shared" si="3"/>
        <v/>
      </c>
      <c r="H16" s="1222" t="str">
        <f t="shared" si="3"/>
        <v/>
      </c>
      <c r="I16" s="1222" t="str">
        <f t="shared" si="3"/>
        <v/>
      </c>
      <c r="J16" s="1222" t="str">
        <f t="shared" si="3"/>
        <v/>
      </c>
      <c r="K16" s="1222" t="str">
        <f t="shared" si="3"/>
        <v/>
      </c>
      <c r="L16" s="1222" t="str">
        <f t="shared" si="3"/>
        <v/>
      </c>
      <c r="M16" s="1859"/>
      <c r="N16" s="1861"/>
      <c r="O16" s="1861"/>
      <c r="P16" s="1863"/>
      <c r="Q16" s="1855"/>
      <c r="R16" s="1857"/>
      <c r="S16" s="1857"/>
      <c r="T16" s="1857"/>
      <c r="U16" s="1857"/>
      <c r="V16" s="1865"/>
      <c r="X16" s="1210" t="s">
        <v>388</v>
      </c>
      <c r="Y16" s="1221" t="str">
        <f>IF(OR(Y13&gt;0,Y14&gt;0,Y15&gt;0),1,"")</f>
        <v/>
      </c>
      <c r="Z16" s="1222" t="str">
        <f>IF(OR(Z13&gt;0,Z14&gt;0,Z15&gt;0),1,"")</f>
        <v/>
      </c>
      <c r="AA16" s="1222" t="str">
        <f t="shared" ref="AA16:AH16" si="4">IF(OR(AA13&gt;0,AA14&gt;0,AA15&gt;0),1,"")</f>
        <v/>
      </c>
      <c r="AB16" s="1222" t="str">
        <f t="shared" si="4"/>
        <v/>
      </c>
      <c r="AC16" s="1222" t="str">
        <f t="shared" si="4"/>
        <v/>
      </c>
      <c r="AD16" s="1222" t="str">
        <f t="shared" si="4"/>
        <v/>
      </c>
      <c r="AE16" s="1222" t="str">
        <f t="shared" si="4"/>
        <v/>
      </c>
      <c r="AF16" s="1222" t="str">
        <f t="shared" si="4"/>
        <v/>
      </c>
      <c r="AG16" s="1222" t="str">
        <f t="shared" si="4"/>
        <v/>
      </c>
      <c r="AH16" s="1222" t="str">
        <f t="shared" si="4"/>
        <v/>
      </c>
      <c r="AI16" s="1859"/>
      <c r="AJ16" s="1861"/>
      <c r="AK16" s="1861"/>
      <c r="AL16" s="1863"/>
      <c r="AM16" s="1855"/>
      <c r="AN16" s="1857"/>
      <c r="AO16" s="1857"/>
      <c r="AP16" s="1857"/>
      <c r="AQ16" s="1857"/>
      <c r="AR16" s="1865"/>
      <c r="AT16" s="1210" t="s">
        <v>388</v>
      </c>
      <c r="AU16" s="1221" t="str">
        <f>IF(OR(AU13&gt;0,AU14&gt;0,AU15&gt;0),1,"")</f>
        <v/>
      </c>
      <c r="AV16" s="1222" t="str">
        <f>IF(OR(AV13&gt;0,AV14&gt;0,AV15&gt;0),1,"")</f>
        <v/>
      </c>
      <c r="AW16" s="1222" t="str">
        <f t="shared" ref="AW16:BD16" si="5">IF(OR(AW13&gt;0,AW14&gt;0,AW15&gt;0),1,"")</f>
        <v/>
      </c>
      <c r="AX16" s="1222" t="str">
        <f t="shared" si="5"/>
        <v/>
      </c>
      <c r="AY16" s="1222" t="str">
        <f t="shared" si="5"/>
        <v/>
      </c>
      <c r="AZ16" s="1222" t="str">
        <f t="shared" si="5"/>
        <v/>
      </c>
      <c r="BA16" s="1222" t="str">
        <f t="shared" si="5"/>
        <v/>
      </c>
      <c r="BB16" s="1222" t="str">
        <f t="shared" si="5"/>
        <v/>
      </c>
      <c r="BC16" s="1222" t="str">
        <f t="shared" si="5"/>
        <v/>
      </c>
      <c r="BD16" s="1222" t="str">
        <f t="shared" si="5"/>
        <v/>
      </c>
      <c r="BE16" s="1859"/>
      <c r="BF16" s="1861"/>
      <c r="BG16" s="1861"/>
      <c r="BH16" s="1863"/>
      <c r="BI16" s="1855"/>
      <c r="BJ16" s="1857"/>
      <c r="BK16" s="1857"/>
      <c r="BL16" s="1857"/>
      <c r="BM16" s="1857"/>
      <c r="BN16" s="1865"/>
    </row>
    <row r="17" spans="2:66" ht="15" customHeight="1" thickTop="1">
      <c r="B17" s="1194" t="s">
        <v>387</v>
      </c>
      <c r="C17" s="1195"/>
      <c r="D17" s="1196"/>
      <c r="E17" s="1196"/>
      <c r="F17" s="1196"/>
      <c r="G17" s="1196"/>
      <c r="H17" s="1196"/>
      <c r="I17" s="1196"/>
      <c r="J17" s="1196"/>
      <c r="K17" s="1196"/>
      <c r="L17" s="1197"/>
      <c r="M17" s="1858">
        <f>SUM(C17:L17)</f>
        <v>0</v>
      </c>
      <c r="N17" s="1860">
        <f>SUM(C18:L18)</f>
        <v>0</v>
      </c>
      <c r="O17" s="1860">
        <f>SUM(C19:L19)</f>
        <v>0</v>
      </c>
      <c r="P17" s="1862">
        <f>SUM(C20:L20)</f>
        <v>0</v>
      </c>
      <c r="Q17" s="1854">
        <f>IF(G4="","",SUM(N17:P21))</f>
        <v>0</v>
      </c>
      <c r="R17" s="1856"/>
      <c r="S17" s="1856"/>
      <c r="T17" s="1856"/>
      <c r="U17" s="1856"/>
      <c r="V17" s="1864" t="s">
        <v>395</v>
      </c>
      <c r="X17" s="1194" t="s">
        <v>387</v>
      </c>
      <c r="Y17" s="1195"/>
      <c r="Z17" s="1196"/>
      <c r="AA17" s="1196"/>
      <c r="AB17" s="1196"/>
      <c r="AC17" s="1196"/>
      <c r="AD17" s="1196"/>
      <c r="AE17" s="1196"/>
      <c r="AF17" s="1196"/>
      <c r="AG17" s="1196"/>
      <c r="AH17" s="1197"/>
      <c r="AI17" s="1858">
        <f>SUM(Y17:AH17)</f>
        <v>0</v>
      </c>
      <c r="AJ17" s="1860">
        <f>SUM(Y18:AH18)</f>
        <v>0</v>
      </c>
      <c r="AK17" s="1860">
        <f>SUM(Y19:AH19)</f>
        <v>0</v>
      </c>
      <c r="AL17" s="1862">
        <f>SUM(Y20:AH20)</f>
        <v>0</v>
      </c>
      <c r="AM17" s="1854">
        <f>IF(AC4="","",SUM(AJ17:AL21))</f>
        <v>0</v>
      </c>
      <c r="AN17" s="1856"/>
      <c r="AO17" s="1856"/>
      <c r="AP17" s="1856"/>
      <c r="AQ17" s="1856"/>
      <c r="AR17" s="1864" t="s">
        <v>395</v>
      </c>
      <c r="AT17" s="1194" t="s">
        <v>387</v>
      </c>
      <c r="AU17" s="1195"/>
      <c r="AV17" s="1196"/>
      <c r="AW17" s="1196"/>
      <c r="AX17" s="1196"/>
      <c r="AY17" s="1196"/>
      <c r="AZ17" s="1196"/>
      <c r="BA17" s="1196"/>
      <c r="BB17" s="1196"/>
      <c r="BC17" s="1196"/>
      <c r="BD17" s="1197"/>
      <c r="BE17" s="1858">
        <f>SUM(AU17:BD17)</f>
        <v>0</v>
      </c>
      <c r="BF17" s="1860">
        <f>SUM(AU18:BD18)</f>
        <v>0</v>
      </c>
      <c r="BG17" s="1860">
        <f>SUM(AU19:BD19)</f>
        <v>0</v>
      </c>
      <c r="BH17" s="1862">
        <f>SUM(AU20:BD20)</f>
        <v>0</v>
      </c>
      <c r="BI17" s="1854">
        <f>IF(AY4="","",SUM(BF17:BH21))</f>
        <v>0</v>
      </c>
      <c r="BJ17" s="1856"/>
      <c r="BK17" s="1856"/>
      <c r="BL17" s="1856"/>
      <c r="BM17" s="1856"/>
      <c r="BN17" s="1864" t="s">
        <v>395</v>
      </c>
    </row>
    <row r="18" spans="2:66" ht="13.5">
      <c r="B18" s="1198" t="s">
        <v>383</v>
      </c>
      <c r="C18" s="1199"/>
      <c r="D18" s="1200"/>
      <c r="E18" s="1200"/>
      <c r="F18" s="1200"/>
      <c r="G18" s="1200"/>
      <c r="H18" s="1200"/>
      <c r="I18" s="1200"/>
      <c r="J18" s="1200"/>
      <c r="K18" s="1200"/>
      <c r="L18" s="1201"/>
      <c r="M18" s="1843"/>
      <c r="N18" s="1846"/>
      <c r="O18" s="1846"/>
      <c r="P18" s="1849"/>
      <c r="Q18" s="1852"/>
      <c r="R18" s="1840"/>
      <c r="S18" s="1840"/>
      <c r="T18" s="1840"/>
      <c r="U18" s="1840"/>
      <c r="V18" s="1837"/>
      <c r="X18" s="1198" t="s">
        <v>383</v>
      </c>
      <c r="Y18" s="1199"/>
      <c r="Z18" s="1200"/>
      <c r="AA18" s="1200"/>
      <c r="AB18" s="1200"/>
      <c r="AC18" s="1200"/>
      <c r="AD18" s="1200"/>
      <c r="AE18" s="1200"/>
      <c r="AF18" s="1200"/>
      <c r="AG18" s="1200"/>
      <c r="AH18" s="1201"/>
      <c r="AI18" s="1843"/>
      <c r="AJ18" s="1846"/>
      <c r="AK18" s="1846"/>
      <c r="AL18" s="1849"/>
      <c r="AM18" s="1852"/>
      <c r="AN18" s="1840"/>
      <c r="AO18" s="1840"/>
      <c r="AP18" s="1840"/>
      <c r="AQ18" s="1840"/>
      <c r="AR18" s="1837"/>
      <c r="AT18" s="1198" t="s">
        <v>383</v>
      </c>
      <c r="AU18" s="1199"/>
      <c r="AV18" s="1200"/>
      <c r="AW18" s="1200"/>
      <c r="AX18" s="1200"/>
      <c r="AY18" s="1200"/>
      <c r="AZ18" s="1200"/>
      <c r="BA18" s="1200"/>
      <c r="BB18" s="1200"/>
      <c r="BC18" s="1200"/>
      <c r="BD18" s="1201"/>
      <c r="BE18" s="1843"/>
      <c r="BF18" s="1846"/>
      <c r="BG18" s="1846"/>
      <c r="BH18" s="1849"/>
      <c r="BI18" s="1852"/>
      <c r="BJ18" s="1840"/>
      <c r="BK18" s="1840"/>
      <c r="BL18" s="1840"/>
      <c r="BM18" s="1840"/>
      <c r="BN18" s="1837"/>
    </row>
    <row r="19" spans="2:66" ht="13.5">
      <c r="B19" s="1202" t="s">
        <v>384</v>
      </c>
      <c r="C19" s="1203"/>
      <c r="D19" s="1204"/>
      <c r="E19" s="1204"/>
      <c r="F19" s="1204"/>
      <c r="G19" s="1204"/>
      <c r="H19" s="1204"/>
      <c r="I19" s="1204"/>
      <c r="J19" s="1204"/>
      <c r="K19" s="1204"/>
      <c r="L19" s="1205"/>
      <c r="M19" s="1843"/>
      <c r="N19" s="1846"/>
      <c r="O19" s="1846"/>
      <c r="P19" s="1849"/>
      <c r="Q19" s="1852"/>
      <c r="R19" s="1840"/>
      <c r="S19" s="1840"/>
      <c r="T19" s="1840"/>
      <c r="U19" s="1840"/>
      <c r="V19" s="1837"/>
      <c r="X19" s="1202" t="s">
        <v>384</v>
      </c>
      <c r="Y19" s="1203"/>
      <c r="Z19" s="1204"/>
      <c r="AA19" s="1204"/>
      <c r="AB19" s="1204"/>
      <c r="AC19" s="1204"/>
      <c r="AD19" s="1204"/>
      <c r="AE19" s="1204"/>
      <c r="AF19" s="1204"/>
      <c r="AG19" s="1204"/>
      <c r="AH19" s="1205"/>
      <c r="AI19" s="1843"/>
      <c r="AJ19" s="1846"/>
      <c r="AK19" s="1846"/>
      <c r="AL19" s="1849"/>
      <c r="AM19" s="1852"/>
      <c r="AN19" s="1840"/>
      <c r="AO19" s="1840"/>
      <c r="AP19" s="1840"/>
      <c r="AQ19" s="1840"/>
      <c r="AR19" s="1837"/>
      <c r="AT19" s="1202" t="s">
        <v>384</v>
      </c>
      <c r="AU19" s="1203"/>
      <c r="AV19" s="1204"/>
      <c r="AW19" s="1204"/>
      <c r="AX19" s="1204"/>
      <c r="AY19" s="1204"/>
      <c r="AZ19" s="1204"/>
      <c r="BA19" s="1204"/>
      <c r="BB19" s="1204"/>
      <c r="BC19" s="1204"/>
      <c r="BD19" s="1205"/>
      <c r="BE19" s="1843"/>
      <c r="BF19" s="1846"/>
      <c r="BG19" s="1846"/>
      <c r="BH19" s="1849"/>
      <c r="BI19" s="1852"/>
      <c r="BJ19" s="1840"/>
      <c r="BK19" s="1840"/>
      <c r="BL19" s="1840"/>
      <c r="BM19" s="1840"/>
      <c r="BN19" s="1837"/>
    </row>
    <row r="20" spans="2:66" ht="13.5">
      <c r="B20" s="1206" t="s">
        <v>385</v>
      </c>
      <c r="C20" s="1207"/>
      <c r="D20" s="1208"/>
      <c r="E20" s="1208"/>
      <c r="F20" s="1208"/>
      <c r="G20" s="1208"/>
      <c r="H20" s="1208"/>
      <c r="I20" s="1208"/>
      <c r="J20" s="1208"/>
      <c r="K20" s="1208"/>
      <c r="L20" s="1209"/>
      <c r="M20" s="1843"/>
      <c r="N20" s="1846"/>
      <c r="O20" s="1846"/>
      <c r="P20" s="1849"/>
      <c r="Q20" s="1852"/>
      <c r="R20" s="1840"/>
      <c r="S20" s="1840"/>
      <c r="T20" s="1840"/>
      <c r="U20" s="1840"/>
      <c r="V20" s="1837"/>
      <c r="X20" s="1206" t="s">
        <v>385</v>
      </c>
      <c r="Y20" s="1207"/>
      <c r="Z20" s="1208"/>
      <c r="AA20" s="1208"/>
      <c r="AB20" s="1208"/>
      <c r="AC20" s="1208"/>
      <c r="AD20" s="1208"/>
      <c r="AE20" s="1208"/>
      <c r="AF20" s="1208"/>
      <c r="AG20" s="1208"/>
      <c r="AH20" s="1209"/>
      <c r="AI20" s="1843"/>
      <c r="AJ20" s="1846"/>
      <c r="AK20" s="1846"/>
      <c r="AL20" s="1849"/>
      <c r="AM20" s="1852"/>
      <c r="AN20" s="1840"/>
      <c r="AO20" s="1840"/>
      <c r="AP20" s="1840"/>
      <c r="AQ20" s="1840"/>
      <c r="AR20" s="1837"/>
      <c r="AT20" s="1206" t="s">
        <v>385</v>
      </c>
      <c r="AU20" s="1207"/>
      <c r="AV20" s="1208"/>
      <c r="AW20" s="1208"/>
      <c r="AX20" s="1208"/>
      <c r="AY20" s="1208"/>
      <c r="AZ20" s="1208"/>
      <c r="BA20" s="1208"/>
      <c r="BB20" s="1208"/>
      <c r="BC20" s="1208"/>
      <c r="BD20" s="1209"/>
      <c r="BE20" s="1843"/>
      <c r="BF20" s="1846"/>
      <c r="BG20" s="1846"/>
      <c r="BH20" s="1849"/>
      <c r="BI20" s="1852"/>
      <c r="BJ20" s="1840"/>
      <c r="BK20" s="1840"/>
      <c r="BL20" s="1840"/>
      <c r="BM20" s="1840"/>
      <c r="BN20" s="1837"/>
    </row>
    <row r="21" spans="2:66" ht="14" thickBot="1">
      <c r="B21" s="1210" t="s">
        <v>388</v>
      </c>
      <c r="C21" s="1221" t="str">
        <f>IF(OR(C18&gt;0,C19&gt;0,C20&gt;0),1,"")</f>
        <v/>
      </c>
      <c r="D21" s="1222" t="str">
        <f>IF(OR(D18&gt;0,D19&gt;0,D20&gt;0),1,"")</f>
        <v/>
      </c>
      <c r="E21" s="1222" t="str">
        <f t="shared" ref="E21:L21" si="6">IF(OR(E18&gt;0,E19&gt;0,E20&gt;0),1,"")</f>
        <v/>
      </c>
      <c r="F21" s="1222" t="str">
        <f t="shared" si="6"/>
        <v/>
      </c>
      <c r="G21" s="1222" t="str">
        <f t="shared" si="6"/>
        <v/>
      </c>
      <c r="H21" s="1222" t="str">
        <f t="shared" si="6"/>
        <v/>
      </c>
      <c r="I21" s="1222" t="str">
        <f t="shared" si="6"/>
        <v/>
      </c>
      <c r="J21" s="1222" t="str">
        <f t="shared" si="6"/>
        <v/>
      </c>
      <c r="K21" s="1222" t="str">
        <f t="shared" si="6"/>
        <v/>
      </c>
      <c r="L21" s="1222" t="str">
        <f t="shared" si="6"/>
        <v/>
      </c>
      <c r="M21" s="1859"/>
      <c r="N21" s="1861"/>
      <c r="O21" s="1861"/>
      <c r="P21" s="1863"/>
      <c r="Q21" s="1855"/>
      <c r="R21" s="1857"/>
      <c r="S21" s="1857"/>
      <c r="T21" s="1857"/>
      <c r="U21" s="1857"/>
      <c r="V21" s="1865"/>
      <c r="X21" s="1210" t="s">
        <v>388</v>
      </c>
      <c r="Y21" s="1221" t="str">
        <f>IF(OR(Y18&gt;0,Y19&gt;0,Y20&gt;0),1,"")</f>
        <v/>
      </c>
      <c r="Z21" s="1222" t="str">
        <f>IF(OR(Z18&gt;0,Z19&gt;0,Z20&gt;0),1,"")</f>
        <v/>
      </c>
      <c r="AA21" s="1222" t="str">
        <f t="shared" ref="AA21:AH21" si="7">IF(OR(AA18&gt;0,AA19&gt;0,AA20&gt;0),1,"")</f>
        <v/>
      </c>
      <c r="AB21" s="1222" t="str">
        <f t="shared" si="7"/>
        <v/>
      </c>
      <c r="AC21" s="1222" t="str">
        <f t="shared" si="7"/>
        <v/>
      </c>
      <c r="AD21" s="1222" t="str">
        <f t="shared" si="7"/>
        <v/>
      </c>
      <c r="AE21" s="1222" t="str">
        <f t="shared" si="7"/>
        <v/>
      </c>
      <c r="AF21" s="1222" t="str">
        <f t="shared" si="7"/>
        <v/>
      </c>
      <c r="AG21" s="1222" t="str">
        <f t="shared" si="7"/>
        <v/>
      </c>
      <c r="AH21" s="1222" t="str">
        <f t="shared" si="7"/>
        <v/>
      </c>
      <c r="AI21" s="1859"/>
      <c r="AJ21" s="1861"/>
      <c r="AK21" s="1861"/>
      <c r="AL21" s="1863"/>
      <c r="AM21" s="1855"/>
      <c r="AN21" s="1857"/>
      <c r="AO21" s="1857"/>
      <c r="AP21" s="1857"/>
      <c r="AQ21" s="1857"/>
      <c r="AR21" s="1865"/>
      <c r="AT21" s="1210" t="s">
        <v>388</v>
      </c>
      <c r="AU21" s="1221" t="str">
        <f>IF(OR(AU18&gt;0,AU19&gt;0,AU20&gt;0),1,"")</f>
        <v/>
      </c>
      <c r="AV21" s="1222" t="str">
        <f>IF(OR(AV18&gt;0,AV19&gt;0,AV20&gt;0),1,"")</f>
        <v/>
      </c>
      <c r="AW21" s="1222" t="str">
        <f t="shared" ref="AW21:BD21" si="8">IF(OR(AW18&gt;0,AW19&gt;0,AW20&gt;0),1,"")</f>
        <v/>
      </c>
      <c r="AX21" s="1222" t="str">
        <f t="shared" si="8"/>
        <v/>
      </c>
      <c r="AY21" s="1222" t="str">
        <f t="shared" si="8"/>
        <v/>
      </c>
      <c r="AZ21" s="1222" t="str">
        <f t="shared" si="8"/>
        <v/>
      </c>
      <c r="BA21" s="1222" t="str">
        <f t="shared" si="8"/>
        <v/>
      </c>
      <c r="BB21" s="1222" t="str">
        <f t="shared" si="8"/>
        <v/>
      </c>
      <c r="BC21" s="1222" t="str">
        <f t="shared" si="8"/>
        <v/>
      </c>
      <c r="BD21" s="1222" t="str">
        <f t="shared" si="8"/>
        <v/>
      </c>
      <c r="BE21" s="1859"/>
      <c r="BF21" s="1861"/>
      <c r="BG21" s="1861"/>
      <c r="BH21" s="1863"/>
      <c r="BI21" s="1855"/>
      <c r="BJ21" s="1857"/>
      <c r="BK21" s="1857"/>
      <c r="BL21" s="1857"/>
      <c r="BM21" s="1857"/>
      <c r="BN21" s="1865"/>
    </row>
    <row r="22" spans="2:66" ht="15" customHeight="1" thickTop="1">
      <c r="B22" s="1194" t="s">
        <v>387</v>
      </c>
      <c r="C22" s="1195"/>
      <c r="D22" s="1196"/>
      <c r="E22" s="1196"/>
      <c r="F22" s="1196"/>
      <c r="G22" s="1196"/>
      <c r="H22" s="1196"/>
      <c r="I22" s="1196"/>
      <c r="J22" s="1196"/>
      <c r="K22" s="1196"/>
      <c r="L22" s="1197"/>
      <c r="M22" s="1858">
        <f>SUM(C22:L22)</f>
        <v>0</v>
      </c>
      <c r="N22" s="1860">
        <f>SUM(C23:L23)</f>
        <v>0</v>
      </c>
      <c r="O22" s="1860">
        <f>SUM(C24:L24)</f>
        <v>0</v>
      </c>
      <c r="P22" s="1862">
        <f>SUM(C25:L25)</f>
        <v>0</v>
      </c>
      <c r="Q22" s="1854">
        <f>IF(G4="","",SUM(N22:P26))</f>
        <v>0</v>
      </c>
      <c r="R22" s="1856"/>
      <c r="S22" s="1856"/>
      <c r="T22" s="1856"/>
      <c r="U22" s="1856"/>
      <c r="V22" s="1864" t="s">
        <v>395</v>
      </c>
      <c r="X22" s="1194" t="s">
        <v>387</v>
      </c>
      <c r="Y22" s="1195"/>
      <c r="Z22" s="1196"/>
      <c r="AA22" s="1196"/>
      <c r="AB22" s="1196"/>
      <c r="AC22" s="1196"/>
      <c r="AD22" s="1196"/>
      <c r="AE22" s="1196"/>
      <c r="AF22" s="1196"/>
      <c r="AG22" s="1196"/>
      <c r="AH22" s="1197"/>
      <c r="AI22" s="1858">
        <f>SUM(Y22:AH22)</f>
        <v>0</v>
      </c>
      <c r="AJ22" s="1860">
        <f>SUM(Y23:AH23)</f>
        <v>0</v>
      </c>
      <c r="AK22" s="1860">
        <f>SUM(Y24:AH24)</f>
        <v>0</v>
      </c>
      <c r="AL22" s="1862">
        <f>SUM(Y25:AH25)</f>
        <v>0</v>
      </c>
      <c r="AM22" s="1854">
        <f>IF(AC4="","",SUM(AJ22:AL26))</f>
        <v>0</v>
      </c>
      <c r="AN22" s="1856"/>
      <c r="AO22" s="1856"/>
      <c r="AP22" s="1856"/>
      <c r="AQ22" s="1856"/>
      <c r="AR22" s="1864" t="s">
        <v>395</v>
      </c>
      <c r="AT22" s="1194" t="s">
        <v>387</v>
      </c>
      <c r="AU22" s="1195"/>
      <c r="AV22" s="1196"/>
      <c r="AW22" s="1196"/>
      <c r="AX22" s="1196"/>
      <c r="AY22" s="1196"/>
      <c r="AZ22" s="1196"/>
      <c r="BA22" s="1196"/>
      <c r="BB22" s="1196"/>
      <c r="BC22" s="1196"/>
      <c r="BD22" s="1197"/>
      <c r="BE22" s="1858">
        <f>SUM(AU22:BD22)</f>
        <v>0</v>
      </c>
      <c r="BF22" s="1860">
        <f>SUM(AU23:BD23)</f>
        <v>0</v>
      </c>
      <c r="BG22" s="1860">
        <f>SUM(AU24:BD24)</f>
        <v>0</v>
      </c>
      <c r="BH22" s="1862">
        <f>SUM(AU25:BD25)</f>
        <v>0</v>
      </c>
      <c r="BI22" s="1854">
        <f>IF(AY4="","",SUM(BF22:BH26))</f>
        <v>0</v>
      </c>
      <c r="BJ22" s="1856"/>
      <c r="BK22" s="1856"/>
      <c r="BL22" s="1856"/>
      <c r="BM22" s="1856"/>
      <c r="BN22" s="1864" t="s">
        <v>395</v>
      </c>
    </row>
    <row r="23" spans="2:66" ht="13.5">
      <c r="B23" s="1198" t="s">
        <v>383</v>
      </c>
      <c r="C23" s="1199"/>
      <c r="D23" s="1200"/>
      <c r="E23" s="1200"/>
      <c r="F23" s="1200"/>
      <c r="G23" s="1200"/>
      <c r="H23" s="1200"/>
      <c r="I23" s="1200"/>
      <c r="J23" s="1200"/>
      <c r="K23" s="1200"/>
      <c r="L23" s="1201"/>
      <c r="M23" s="1843"/>
      <c r="N23" s="1846"/>
      <c r="O23" s="1846"/>
      <c r="P23" s="1849"/>
      <c r="Q23" s="1852"/>
      <c r="R23" s="1840"/>
      <c r="S23" s="1840"/>
      <c r="T23" s="1840"/>
      <c r="U23" s="1840"/>
      <c r="V23" s="1837"/>
      <c r="X23" s="1198" t="s">
        <v>383</v>
      </c>
      <c r="Y23" s="1199"/>
      <c r="Z23" s="1200"/>
      <c r="AA23" s="1200"/>
      <c r="AB23" s="1200"/>
      <c r="AC23" s="1200"/>
      <c r="AD23" s="1200"/>
      <c r="AE23" s="1200"/>
      <c r="AF23" s="1200"/>
      <c r="AG23" s="1200"/>
      <c r="AH23" s="1201"/>
      <c r="AI23" s="1843"/>
      <c r="AJ23" s="1846"/>
      <c r="AK23" s="1846"/>
      <c r="AL23" s="1849"/>
      <c r="AM23" s="1852"/>
      <c r="AN23" s="1840"/>
      <c r="AO23" s="1840"/>
      <c r="AP23" s="1840"/>
      <c r="AQ23" s="1840"/>
      <c r="AR23" s="1837"/>
      <c r="AT23" s="1198" t="s">
        <v>383</v>
      </c>
      <c r="AU23" s="1199"/>
      <c r="AV23" s="1200"/>
      <c r="AW23" s="1200"/>
      <c r="AX23" s="1200"/>
      <c r="AY23" s="1200"/>
      <c r="AZ23" s="1200"/>
      <c r="BA23" s="1200"/>
      <c r="BB23" s="1200"/>
      <c r="BC23" s="1200"/>
      <c r="BD23" s="1201"/>
      <c r="BE23" s="1843"/>
      <c r="BF23" s="1846"/>
      <c r="BG23" s="1846"/>
      <c r="BH23" s="1849"/>
      <c r="BI23" s="1852"/>
      <c r="BJ23" s="1840"/>
      <c r="BK23" s="1840"/>
      <c r="BL23" s="1840"/>
      <c r="BM23" s="1840"/>
      <c r="BN23" s="1837"/>
    </row>
    <row r="24" spans="2:66" ht="13.5">
      <c r="B24" s="1202" t="s">
        <v>384</v>
      </c>
      <c r="C24" s="1203"/>
      <c r="D24" s="1204"/>
      <c r="E24" s="1204"/>
      <c r="F24" s="1204"/>
      <c r="G24" s="1204"/>
      <c r="H24" s="1204"/>
      <c r="I24" s="1204"/>
      <c r="J24" s="1204"/>
      <c r="K24" s="1204"/>
      <c r="L24" s="1205"/>
      <c r="M24" s="1843"/>
      <c r="N24" s="1846"/>
      <c r="O24" s="1846"/>
      <c r="P24" s="1849"/>
      <c r="Q24" s="1852"/>
      <c r="R24" s="1840"/>
      <c r="S24" s="1840"/>
      <c r="T24" s="1840"/>
      <c r="U24" s="1840"/>
      <c r="V24" s="1837"/>
      <c r="X24" s="1202" t="s">
        <v>384</v>
      </c>
      <c r="Y24" s="1203"/>
      <c r="Z24" s="1204"/>
      <c r="AA24" s="1204"/>
      <c r="AB24" s="1204"/>
      <c r="AC24" s="1204"/>
      <c r="AD24" s="1204"/>
      <c r="AE24" s="1204"/>
      <c r="AF24" s="1204"/>
      <c r="AG24" s="1204"/>
      <c r="AH24" s="1205"/>
      <c r="AI24" s="1843"/>
      <c r="AJ24" s="1846"/>
      <c r="AK24" s="1846"/>
      <c r="AL24" s="1849"/>
      <c r="AM24" s="1852"/>
      <c r="AN24" s="1840"/>
      <c r="AO24" s="1840"/>
      <c r="AP24" s="1840"/>
      <c r="AQ24" s="1840"/>
      <c r="AR24" s="1837"/>
      <c r="AT24" s="1202" t="s">
        <v>384</v>
      </c>
      <c r="AU24" s="1203"/>
      <c r="AV24" s="1204"/>
      <c r="AW24" s="1204"/>
      <c r="AX24" s="1204"/>
      <c r="AY24" s="1204"/>
      <c r="AZ24" s="1204"/>
      <c r="BA24" s="1204"/>
      <c r="BB24" s="1204"/>
      <c r="BC24" s="1204"/>
      <c r="BD24" s="1205"/>
      <c r="BE24" s="1843"/>
      <c r="BF24" s="1846"/>
      <c r="BG24" s="1846"/>
      <c r="BH24" s="1849"/>
      <c r="BI24" s="1852"/>
      <c r="BJ24" s="1840"/>
      <c r="BK24" s="1840"/>
      <c r="BL24" s="1840"/>
      <c r="BM24" s="1840"/>
      <c r="BN24" s="1837"/>
    </row>
    <row r="25" spans="2:66" ht="13.5">
      <c r="B25" s="1206" t="s">
        <v>385</v>
      </c>
      <c r="C25" s="1207"/>
      <c r="D25" s="1208"/>
      <c r="E25" s="1208"/>
      <c r="F25" s="1208"/>
      <c r="G25" s="1208"/>
      <c r="H25" s="1208"/>
      <c r="I25" s="1208"/>
      <c r="J25" s="1208"/>
      <c r="K25" s="1208"/>
      <c r="L25" s="1209"/>
      <c r="M25" s="1843"/>
      <c r="N25" s="1846"/>
      <c r="O25" s="1846"/>
      <c r="P25" s="1849"/>
      <c r="Q25" s="1852"/>
      <c r="R25" s="1840"/>
      <c r="S25" s="1840"/>
      <c r="T25" s="1840"/>
      <c r="U25" s="1840"/>
      <c r="V25" s="1837"/>
      <c r="X25" s="1206" t="s">
        <v>385</v>
      </c>
      <c r="Y25" s="1207"/>
      <c r="Z25" s="1208"/>
      <c r="AA25" s="1208"/>
      <c r="AB25" s="1208"/>
      <c r="AC25" s="1208"/>
      <c r="AD25" s="1208"/>
      <c r="AE25" s="1208"/>
      <c r="AF25" s="1208"/>
      <c r="AG25" s="1208"/>
      <c r="AH25" s="1209"/>
      <c r="AI25" s="1843"/>
      <c r="AJ25" s="1846"/>
      <c r="AK25" s="1846"/>
      <c r="AL25" s="1849"/>
      <c r="AM25" s="1852"/>
      <c r="AN25" s="1840"/>
      <c r="AO25" s="1840"/>
      <c r="AP25" s="1840"/>
      <c r="AQ25" s="1840"/>
      <c r="AR25" s="1837"/>
      <c r="AT25" s="1206" t="s">
        <v>385</v>
      </c>
      <c r="AU25" s="1207"/>
      <c r="AV25" s="1208"/>
      <c r="AW25" s="1208"/>
      <c r="AX25" s="1208"/>
      <c r="AY25" s="1208"/>
      <c r="AZ25" s="1208"/>
      <c r="BA25" s="1208"/>
      <c r="BB25" s="1208"/>
      <c r="BC25" s="1208"/>
      <c r="BD25" s="1209"/>
      <c r="BE25" s="1843"/>
      <c r="BF25" s="1846"/>
      <c r="BG25" s="1846"/>
      <c r="BH25" s="1849"/>
      <c r="BI25" s="1852"/>
      <c r="BJ25" s="1840"/>
      <c r="BK25" s="1840"/>
      <c r="BL25" s="1840"/>
      <c r="BM25" s="1840"/>
      <c r="BN25" s="1837"/>
    </row>
    <row r="26" spans="2:66" ht="14" thickBot="1">
      <c r="B26" s="1210" t="s">
        <v>388</v>
      </c>
      <c r="C26" s="1221" t="str">
        <f>IF(OR(C23&gt;0,C24&gt;0,C25&gt;0),1,"")</f>
        <v/>
      </c>
      <c r="D26" s="1222" t="str">
        <f>IF(OR(D23&gt;0,D24&gt;0,D25&gt;0),1,"")</f>
        <v/>
      </c>
      <c r="E26" s="1222" t="str">
        <f t="shared" ref="E26:L26" si="9">IF(OR(E23&gt;0,E24&gt;0,E25&gt;0),1,"")</f>
        <v/>
      </c>
      <c r="F26" s="1222" t="str">
        <f t="shared" si="9"/>
        <v/>
      </c>
      <c r="G26" s="1222" t="str">
        <f t="shared" si="9"/>
        <v/>
      </c>
      <c r="H26" s="1222" t="str">
        <f t="shared" si="9"/>
        <v/>
      </c>
      <c r="I26" s="1222" t="str">
        <f t="shared" si="9"/>
        <v/>
      </c>
      <c r="J26" s="1222" t="str">
        <f t="shared" si="9"/>
        <v/>
      </c>
      <c r="K26" s="1222" t="str">
        <f t="shared" si="9"/>
        <v/>
      </c>
      <c r="L26" s="1222" t="str">
        <f t="shared" si="9"/>
        <v/>
      </c>
      <c r="M26" s="1859"/>
      <c r="N26" s="1861"/>
      <c r="O26" s="1861"/>
      <c r="P26" s="1863"/>
      <c r="Q26" s="1855"/>
      <c r="R26" s="1857"/>
      <c r="S26" s="1857"/>
      <c r="T26" s="1857"/>
      <c r="U26" s="1857"/>
      <c r="V26" s="1865"/>
      <c r="X26" s="1210" t="s">
        <v>388</v>
      </c>
      <c r="Y26" s="1221" t="str">
        <f>IF(OR(Y23&gt;0,Y24&gt;0,Y25&gt;0),1,"")</f>
        <v/>
      </c>
      <c r="Z26" s="1222" t="str">
        <f>IF(OR(Z23&gt;0,Z24&gt;0,Z25&gt;0),1,"")</f>
        <v/>
      </c>
      <c r="AA26" s="1222" t="str">
        <f t="shared" ref="AA26:AH26" si="10">IF(OR(AA23&gt;0,AA24&gt;0,AA25&gt;0),1,"")</f>
        <v/>
      </c>
      <c r="AB26" s="1222" t="str">
        <f t="shared" si="10"/>
        <v/>
      </c>
      <c r="AC26" s="1222" t="str">
        <f t="shared" si="10"/>
        <v/>
      </c>
      <c r="AD26" s="1222" t="str">
        <f t="shared" si="10"/>
        <v/>
      </c>
      <c r="AE26" s="1222" t="str">
        <f t="shared" si="10"/>
        <v/>
      </c>
      <c r="AF26" s="1222" t="str">
        <f t="shared" si="10"/>
        <v/>
      </c>
      <c r="AG26" s="1222" t="str">
        <f t="shared" si="10"/>
        <v/>
      </c>
      <c r="AH26" s="1222" t="str">
        <f t="shared" si="10"/>
        <v/>
      </c>
      <c r="AI26" s="1859"/>
      <c r="AJ26" s="1861"/>
      <c r="AK26" s="1861"/>
      <c r="AL26" s="1863"/>
      <c r="AM26" s="1855"/>
      <c r="AN26" s="1857"/>
      <c r="AO26" s="1857"/>
      <c r="AP26" s="1857"/>
      <c r="AQ26" s="1857"/>
      <c r="AR26" s="1865"/>
      <c r="AT26" s="1210" t="s">
        <v>388</v>
      </c>
      <c r="AU26" s="1221" t="str">
        <f>IF(OR(AU23&gt;0,AU24&gt;0,AU25&gt;0),1,"")</f>
        <v/>
      </c>
      <c r="AV26" s="1222" t="str">
        <f>IF(OR(AV23&gt;0,AV24&gt;0,AV25&gt;0),1,"")</f>
        <v/>
      </c>
      <c r="AW26" s="1222" t="str">
        <f t="shared" ref="AW26:BD26" si="11">IF(OR(AW23&gt;0,AW24&gt;0,AW25&gt;0),1,"")</f>
        <v/>
      </c>
      <c r="AX26" s="1222" t="str">
        <f t="shared" si="11"/>
        <v/>
      </c>
      <c r="AY26" s="1222" t="str">
        <f t="shared" si="11"/>
        <v/>
      </c>
      <c r="AZ26" s="1222" t="str">
        <f t="shared" si="11"/>
        <v/>
      </c>
      <c r="BA26" s="1222" t="str">
        <f t="shared" si="11"/>
        <v/>
      </c>
      <c r="BB26" s="1222" t="str">
        <f t="shared" si="11"/>
        <v/>
      </c>
      <c r="BC26" s="1222" t="str">
        <f t="shared" si="11"/>
        <v/>
      </c>
      <c r="BD26" s="1222" t="str">
        <f t="shared" si="11"/>
        <v/>
      </c>
      <c r="BE26" s="1859"/>
      <c r="BF26" s="1861"/>
      <c r="BG26" s="1861"/>
      <c r="BH26" s="1863"/>
      <c r="BI26" s="1855"/>
      <c r="BJ26" s="1857"/>
      <c r="BK26" s="1857"/>
      <c r="BL26" s="1857"/>
      <c r="BM26" s="1857"/>
      <c r="BN26" s="1865"/>
    </row>
    <row r="27" spans="2:66" ht="15" customHeight="1" thickTop="1">
      <c r="B27" s="1194" t="s">
        <v>387</v>
      </c>
      <c r="C27" s="1195"/>
      <c r="D27" s="1196"/>
      <c r="E27" s="1196"/>
      <c r="F27" s="1196"/>
      <c r="G27" s="1196"/>
      <c r="H27" s="1196"/>
      <c r="I27" s="1196"/>
      <c r="J27" s="1196"/>
      <c r="K27" s="1196"/>
      <c r="L27" s="1197"/>
      <c r="M27" s="1842">
        <f>SUM(C27:L27)</f>
        <v>0</v>
      </c>
      <c r="N27" s="1845">
        <f>SUM(C28:L28)</f>
        <v>0</v>
      </c>
      <c r="O27" s="1845">
        <f>SUM(C29:L29)</f>
        <v>0</v>
      </c>
      <c r="P27" s="1848">
        <f>SUM(C30:L30)</f>
        <v>0</v>
      </c>
      <c r="Q27" s="1851">
        <f>IF(G4="","",SUM(N27:P31))</f>
        <v>0</v>
      </c>
      <c r="R27" s="1839"/>
      <c r="S27" s="1839"/>
      <c r="T27" s="1839"/>
      <c r="U27" s="1839"/>
      <c r="V27" s="1836" t="s">
        <v>395</v>
      </c>
      <c r="X27" s="1194" t="s">
        <v>387</v>
      </c>
      <c r="Y27" s="1195"/>
      <c r="Z27" s="1196"/>
      <c r="AA27" s="1196"/>
      <c r="AB27" s="1196"/>
      <c r="AC27" s="1196"/>
      <c r="AD27" s="1196"/>
      <c r="AE27" s="1196"/>
      <c r="AF27" s="1196"/>
      <c r="AG27" s="1196"/>
      <c r="AH27" s="1197"/>
      <c r="AI27" s="1842">
        <f>SUM(Y27:AH27)</f>
        <v>0</v>
      </c>
      <c r="AJ27" s="1845">
        <f>SUM(Y28:AH28)</f>
        <v>0</v>
      </c>
      <c r="AK27" s="1845">
        <f>SUM(Y29:AH29)</f>
        <v>0</v>
      </c>
      <c r="AL27" s="1848">
        <f>SUM(Y30:AH30)</f>
        <v>0</v>
      </c>
      <c r="AM27" s="1851">
        <f>IF(AC4="","",SUM(AJ27:AL31))</f>
        <v>0</v>
      </c>
      <c r="AN27" s="1839"/>
      <c r="AO27" s="1839"/>
      <c r="AP27" s="1839"/>
      <c r="AQ27" s="1839"/>
      <c r="AR27" s="1836" t="s">
        <v>395</v>
      </c>
      <c r="AT27" s="1194" t="s">
        <v>387</v>
      </c>
      <c r="AU27" s="1195"/>
      <c r="AV27" s="1196"/>
      <c r="AW27" s="1196"/>
      <c r="AX27" s="1196"/>
      <c r="AY27" s="1196"/>
      <c r="AZ27" s="1196"/>
      <c r="BA27" s="1196"/>
      <c r="BB27" s="1196"/>
      <c r="BC27" s="1196"/>
      <c r="BD27" s="1197"/>
      <c r="BE27" s="1842">
        <f>SUM(AU27:BD27)</f>
        <v>0</v>
      </c>
      <c r="BF27" s="1845">
        <f>SUM(AU28:BD28)</f>
        <v>0</v>
      </c>
      <c r="BG27" s="1845">
        <f>SUM(AU29:BD29)</f>
        <v>0</v>
      </c>
      <c r="BH27" s="1848">
        <f>SUM(AU30:BD30)</f>
        <v>0</v>
      </c>
      <c r="BI27" s="1851">
        <f>IF(AY4="","",SUM(BF27:BH31))</f>
        <v>0</v>
      </c>
      <c r="BJ27" s="1839"/>
      <c r="BK27" s="1839"/>
      <c r="BL27" s="1839"/>
      <c r="BM27" s="1839"/>
      <c r="BN27" s="1836" t="s">
        <v>395</v>
      </c>
    </row>
    <row r="28" spans="2:66" ht="13.5">
      <c r="B28" s="1198" t="s">
        <v>383</v>
      </c>
      <c r="C28" s="1199"/>
      <c r="D28" s="1200"/>
      <c r="E28" s="1200"/>
      <c r="F28" s="1200"/>
      <c r="G28" s="1200"/>
      <c r="H28" s="1200"/>
      <c r="I28" s="1200"/>
      <c r="J28" s="1200"/>
      <c r="K28" s="1200"/>
      <c r="L28" s="1201"/>
      <c r="M28" s="1843"/>
      <c r="N28" s="1846"/>
      <c r="O28" s="1846"/>
      <c r="P28" s="1849"/>
      <c r="Q28" s="1852"/>
      <c r="R28" s="1840"/>
      <c r="S28" s="1840"/>
      <c r="T28" s="1840"/>
      <c r="U28" s="1840"/>
      <c r="V28" s="1837"/>
      <c r="X28" s="1198" t="s">
        <v>383</v>
      </c>
      <c r="Y28" s="1199"/>
      <c r="Z28" s="1200"/>
      <c r="AA28" s="1200"/>
      <c r="AB28" s="1200"/>
      <c r="AC28" s="1200"/>
      <c r="AD28" s="1200"/>
      <c r="AE28" s="1200"/>
      <c r="AF28" s="1200"/>
      <c r="AG28" s="1200"/>
      <c r="AH28" s="1201"/>
      <c r="AI28" s="1843"/>
      <c r="AJ28" s="1846"/>
      <c r="AK28" s="1846"/>
      <c r="AL28" s="1849"/>
      <c r="AM28" s="1852"/>
      <c r="AN28" s="1840"/>
      <c r="AO28" s="1840"/>
      <c r="AP28" s="1840"/>
      <c r="AQ28" s="1840"/>
      <c r="AR28" s="1837"/>
      <c r="AT28" s="1198" t="s">
        <v>383</v>
      </c>
      <c r="AU28" s="1199"/>
      <c r="AV28" s="1200"/>
      <c r="AW28" s="1200"/>
      <c r="AX28" s="1200"/>
      <c r="AY28" s="1200"/>
      <c r="AZ28" s="1200"/>
      <c r="BA28" s="1200"/>
      <c r="BB28" s="1200"/>
      <c r="BC28" s="1200"/>
      <c r="BD28" s="1201"/>
      <c r="BE28" s="1843"/>
      <c r="BF28" s="1846"/>
      <c r="BG28" s="1846"/>
      <c r="BH28" s="1849"/>
      <c r="BI28" s="1852"/>
      <c r="BJ28" s="1840"/>
      <c r="BK28" s="1840"/>
      <c r="BL28" s="1840"/>
      <c r="BM28" s="1840"/>
      <c r="BN28" s="1837"/>
    </row>
    <row r="29" spans="2:66" ht="13.5">
      <c r="B29" s="1202" t="s">
        <v>384</v>
      </c>
      <c r="C29" s="1203"/>
      <c r="D29" s="1204"/>
      <c r="E29" s="1204"/>
      <c r="F29" s="1204"/>
      <c r="G29" s="1204"/>
      <c r="H29" s="1204"/>
      <c r="I29" s="1204"/>
      <c r="J29" s="1204"/>
      <c r="K29" s="1204"/>
      <c r="L29" s="1205"/>
      <c r="M29" s="1843"/>
      <c r="N29" s="1846"/>
      <c r="O29" s="1846"/>
      <c r="P29" s="1849"/>
      <c r="Q29" s="1852"/>
      <c r="R29" s="1840"/>
      <c r="S29" s="1840"/>
      <c r="T29" s="1840"/>
      <c r="U29" s="1840"/>
      <c r="V29" s="1837"/>
      <c r="X29" s="1202" t="s">
        <v>384</v>
      </c>
      <c r="Y29" s="1203"/>
      <c r="Z29" s="1204"/>
      <c r="AA29" s="1204"/>
      <c r="AB29" s="1204"/>
      <c r="AC29" s="1204"/>
      <c r="AD29" s="1204"/>
      <c r="AE29" s="1204"/>
      <c r="AF29" s="1204"/>
      <c r="AG29" s="1204"/>
      <c r="AH29" s="1205"/>
      <c r="AI29" s="1843"/>
      <c r="AJ29" s="1846"/>
      <c r="AK29" s="1846"/>
      <c r="AL29" s="1849"/>
      <c r="AM29" s="1852"/>
      <c r="AN29" s="1840"/>
      <c r="AO29" s="1840"/>
      <c r="AP29" s="1840"/>
      <c r="AQ29" s="1840"/>
      <c r="AR29" s="1837"/>
      <c r="AT29" s="1202" t="s">
        <v>384</v>
      </c>
      <c r="AU29" s="1203"/>
      <c r="AV29" s="1204"/>
      <c r="AW29" s="1204"/>
      <c r="AX29" s="1204"/>
      <c r="AY29" s="1204"/>
      <c r="AZ29" s="1204"/>
      <c r="BA29" s="1204"/>
      <c r="BB29" s="1204"/>
      <c r="BC29" s="1204"/>
      <c r="BD29" s="1205"/>
      <c r="BE29" s="1843"/>
      <c r="BF29" s="1846"/>
      <c r="BG29" s="1846"/>
      <c r="BH29" s="1849"/>
      <c r="BI29" s="1852"/>
      <c r="BJ29" s="1840"/>
      <c r="BK29" s="1840"/>
      <c r="BL29" s="1840"/>
      <c r="BM29" s="1840"/>
      <c r="BN29" s="1837"/>
    </row>
    <row r="30" spans="2:66" ht="13.5">
      <c r="B30" s="1206" t="s">
        <v>385</v>
      </c>
      <c r="C30" s="1207"/>
      <c r="D30" s="1208"/>
      <c r="E30" s="1208"/>
      <c r="F30" s="1208"/>
      <c r="G30" s="1208"/>
      <c r="H30" s="1208"/>
      <c r="I30" s="1208"/>
      <c r="J30" s="1208"/>
      <c r="K30" s="1208"/>
      <c r="L30" s="1209"/>
      <c r="M30" s="1843"/>
      <c r="N30" s="1846"/>
      <c r="O30" s="1846"/>
      <c r="P30" s="1849"/>
      <c r="Q30" s="1852"/>
      <c r="R30" s="1840"/>
      <c r="S30" s="1840"/>
      <c r="T30" s="1840"/>
      <c r="U30" s="1840"/>
      <c r="V30" s="1837"/>
      <c r="X30" s="1206" t="s">
        <v>385</v>
      </c>
      <c r="Y30" s="1207"/>
      <c r="Z30" s="1208"/>
      <c r="AA30" s="1208"/>
      <c r="AB30" s="1208"/>
      <c r="AC30" s="1208"/>
      <c r="AD30" s="1208"/>
      <c r="AE30" s="1208"/>
      <c r="AF30" s="1208"/>
      <c r="AG30" s="1208"/>
      <c r="AH30" s="1209"/>
      <c r="AI30" s="1843"/>
      <c r="AJ30" s="1846"/>
      <c r="AK30" s="1846"/>
      <c r="AL30" s="1849"/>
      <c r="AM30" s="1852"/>
      <c r="AN30" s="1840"/>
      <c r="AO30" s="1840"/>
      <c r="AP30" s="1840"/>
      <c r="AQ30" s="1840"/>
      <c r="AR30" s="1837"/>
      <c r="AT30" s="1206" t="s">
        <v>385</v>
      </c>
      <c r="AU30" s="1207"/>
      <c r="AV30" s="1208"/>
      <c r="AW30" s="1208"/>
      <c r="AX30" s="1208"/>
      <c r="AY30" s="1208"/>
      <c r="AZ30" s="1208"/>
      <c r="BA30" s="1208"/>
      <c r="BB30" s="1208"/>
      <c r="BC30" s="1208"/>
      <c r="BD30" s="1209"/>
      <c r="BE30" s="1843"/>
      <c r="BF30" s="1846"/>
      <c r="BG30" s="1846"/>
      <c r="BH30" s="1849"/>
      <c r="BI30" s="1852"/>
      <c r="BJ30" s="1840"/>
      <c r="BK30" s="1840"/>
      <c r="BL30" s="1840"/>
      <c r="BM30" s="1840"/>
      <c r="BN30" s="1837"/>
    </row>
    <row r="31" spans="2:66" ht="13.5">
      <c r="B31" s="1215" t="s">
        <v>388</v>
      </c>
      <c r="C31" s="1223" t="str">
        <f>IF(OR(C28&gt;0,C29&gt;0,C30&gt;0),1,"")</f>
        <v/>
      </c>
      <c r="D31" s="1224" t="str">
        <f>IF(OR(D28&gt;0,D29&gt;0,D30&gt;0),1,"")</f>
        <v/>
      </c>
      <c r="E31" s="1224" t="str">
        <f t="shared" ref="E31:L31" si="12">IF(OR(E28&gt;0,E29&gt;0,E30&gt;0),1,"")</f>
        <v/>
      </c>
      <c r="F31" s="1224" t="str">
        <f t="shared" si="12"/>
        <v/>
      </c>
      <c r="G31" s="1224" t="str">
        <f t="shared" si="12"/>
        <v/>
      </c>
      <c r="H31" s="1224" t="str">
        <f t="shared" si="12"/>
        <v/>
      </c>
      <c r="I31" s="1224" t="str">
        <f t="shared" si="12"/>
        <v/>
      </c>
      <c r="J31" s="1224" t="str">
        <f t="shared" si="12"/>
        <v/>
      </c>
      <c r="K31" s="1224" t="str">
        <f t="shared" si="12"/>
        <v/>
      </c>
      <c r="L31" s="1225" t="str">
        <f t="shared" si="12"/>
        <v/>
      </c>
      <c r="M31" s="1844"/>
      <c r="N31" s="1847"/>
      <c r="O31" s="1847"/>
      <c r="P31" s="1850"/>
      <c r="Q31" s="1853"/>
      <c r="R31" s="1841"/>
      <c r="S31" s="1841"/>
      <c r="T31" s="1841"/>
      <c r="U31" s="1841"/>
      <c r="V31" s="1838"/>
      <c r="X31" s="1215" t="s">
        <v>388</v>
      </c>
      <c r="Y31" s="1223" t="str">
        <f>IF(OR(Y28&gt;0,Y29&gt;0,Y30&gt;0),1,"")</f>
        <v/>
      </c>
      <c r="Z31" s="1224" t="str">
        <f>IF(OR(Z28&gt;0,Z29&gt;0,Z30&gt;0),1,"")</f>
        <v/>
      </c>
      <c r="AA31" s="1224" t="str">
        <f t="shared" ref="AA31:AH31" si="13">IF(OR(AA28&gt;0,AA29&gt;0,AA30&gt;0),1,"")</f>
        <v/>
      </c>
      <c r="AB31" s="1224" t="str">
        <f t="shared" si="13"/>
        <v/>
      </c>
      <c r="AC31" s="1224" t="str">
        <f t="shared" si="13"/>
        <v/>
      </c>
      <c r="AD31" s="1224" t="str">
        <f t="shared" si="13"/>
        <v/>
      </c>
      <c r="AE31" s="1224" t="str">
        <f t="shared" si="13"/>
        <v/>
      </c>
      <c r="AF31" s="1224" t="str">
        <f t="shared" si="13"/>
        <v/>
      </c>
      <c r="AG31" s="1224" t="str">
        <f t="shared" si="13"/>
        <v/>
      </c>
      <c r="AH31" s="1225" t="str">
        <f t="shared" si="13"/>
        <v/>
      </c>
      <c r="AI31" s="1844"/>
      <c r="AJ31" s="1847"/>
      <c r="AK31" s="1847"/>
      <c r="AL31" s="1850"/>
      <c r="AM31" s="1853"/>
      <c r="AN31" s="1841"/>
      <c r="AO31" s="1841"/>
      <c r="AP31" s="1841"/>
      <c r="AQ31" s="1841"/>
      <c r="AR31" s="1838"/>
      <c r="AT31" s="1215" t="s">
        <v>388</v>
      </c>
      <c r="AU31" s="1223" t="str">
        <f>IF(OR(AU28&gt;0,AU29&gt;0,AU30&gt;0),1,"")</f>
        <v/>
      </c>
      <c r="AV31" s="1224" t="str">
        <f>IF(OR(AV28&gt;0,AV29&gt;0,AV30&gt;0),1,"")</f>
        <v/>
      </c>
      <c r="AW31" s="1224" t="str">
        <f t="shared" ref="AW31:BD31" si="14">IF(OR(AW28&gt;0,AW29&gt;0,AW30&gt;0),1,"")</f>
        <v/>
      </c>
      <c r="AX31" s="1224" t="str">
        <f t="shared" si="14"/>
        <v/>
      </c>
      <c r="AY31" s="1224" t="str">
        <f t="shared" si="14"/>
        <v/>
      </c>
      <c r="AZ31" s="1224" t="str">
        <f t="shared" si="14"/>
        <v/>
      </c>
      <c r="BA31" s="1224" t="str">
        <f t="shared" si="14"/>
        <v/>
      </c>
      <c r="BB31" s="1224" t="str">
        <f t="shared" si="14"/>
        <v/>
      </c>
      <c r="BC31" s="1224" t="str">
        <f t="shared" si="14"/>
        <v/>
      </c>
      <c r="BD31" s="1225" t="str">
        <f t="shared" si="14"/>
        <v/>
      </c>
      <c r="BE31" s="1844"/>
      <c r="BF31" s="1847"/>
      <c r="BG31" s="1847"/>
      <c r="BH31" s="1850"/>
      <c r="BI31" s="1853"/>
      <c r="BJ31" s="1841"/>
      <c r="BK31" s="1841"/>
      <c r="BL31" s="1841"/>
      <c r="BM31" s="1841"/>
      <c r="BN31" s="1838"/>
    </row>
    <row r="32" spans="2:66">
      <c r="M32" s="1"/>
      <c r="N32" s="1"/>
      <c r="O32" s="1"/>
      <c r="P32" s="1"/>
      <c r="AI32" s="1"/>
      <c r="AJ32" s="1"/>
      <c r="AK32" s="1"/>
      <c r="AL32" s="1"/>
      <c r="BE32" s="1"/>
      <c r="BF32" s="1"/>
      <c r="BG32" s="1"/>
      <c r="BH32" s="1"/>
    </row>
    <row r="33" spans="2:66">
      <c r="B33" s="1175"/>
      <c r="C33" s="1176" t="s">
        <v>414</v>
      </c>
      <c r="D33" s="1217" t="s">
        <v>396</v>
      </c>
      <c r="E33" s="1177"/>
      <c r="F33" s="1177" t="s">
        <v>373</v>
      </c>
      <c r="G33" s="1178">
        <v>46059</v>
      </c>
      <c r="H33" s="1167"/>
      <c r="I33" s="1167"/>
      <c r="J33" s="1179" t="s">
        <v>374</v>
      </c>
      <c r="K33" s="1165"/>
      <c r="L33" s="1165"/>
      <c r="M33" s="1165"/>
      <c r="N33" s="1165"/>
      <c r="O33" s="1165"/>
      <c r="P33" s="1165"/>
      <c r="Q33" s="1165"/>
      <c r="R33" s="1165"/>
      <c r="S33" s="1165"/>
      <c r="T33" s="1165"/>
      <c r="U33" s="1165"/>
      <c r="V33" s="1165"/>
      <c r="X33" s="1175"/>
      <c r="Y33" s="1176" t="s">
        <v>415</v>
      </c>
      <c r="Z33" s="1217" t="s">
        <v>411</v>
      </c>
      <c r="AA33" s="1177"/>
      <c r="AB33" s="1177" t="s">
        <v>373</v>
      </c>
      <c r="AC33" s="1178">
        <v>46069</v>
      </c>
      <c r="AD33" s="1167"/>
      <c r="AE33" s="1167"/>
      <c r="AF33" s="1179" t="s">
        <v>374</v>
      </c>
      <c r="AG33" s="1165"/>
      <c r="AH33" s="1165"/>
      <c r="AI33" s="1165"/>
      <c r="AJ33" s="1165"/>
      <c r="AK33" s="1165"/>
      <c r="AL33" s="1165"/>
      <c r="AM33" s="1165"/>
      <c r="AN33" s="1165"/>
      <c r="AO33" s="1165"/>
      <c r="AP33" s="1165"/>
      <c r="AQ33" s="1165"/>
      <c r="AR33" s="1165"/>
      <c r="AT33" s="1175"/>
      <c r="AU33" s="1176" t="s">
        <v>416</v>
      </c>
      <c r="AV33" s="1217" t="s">
        <v>408</v>
      </c>
      <c r="AW33" s="1177"/>
      <c r="AX33" s="1177" t="s">
        <v>373</v>
      </c>
      <c r="AY33" s="1178">
        <v>46080</v>
      </c>
      <c r="AZ33" s="1167"/>
      <c r="BA33" s="1167"/>
      <c r="BB33" s="1179" t="s">
        <v>374</v>
      </c>
      <c r="BC33" s="1165"/>
      <c r="BD33" s="1165"/>
      <c r="BE33" s="1165"/>
      <c r="BF33" s="1165"/>
      <c r="BG33" s="1165"/>
      <c r="BH33" s="1165"/>
      <c r="BI33" s="1165"/>
      <c r="BJ33" s="1165"/>
      <c r="BK33" s="1165"/>
      <c r="BL33" s="1165"/>
      <c r="BM33" s="1165"/>
      <c r="BN33" s="1165"/>
    </row>
    <row r="34" spans="2:66" ht="15.75" customHeight="1">
      <c r="B34" s="1180" t="s">
        <v>375</v>
      </c>
      <c r="C34" s="1181"/>
      <c r="D34" s="1220">
        <f>IF(J34="",#N/A,SUM(C40:L40,C45:L45,C50:L50,C55:L55,C60:L60))</f>
        <v>0</v>
      </c>
      <c r="E34" s="1183" t="s">
        <v>376</v>
      </c>
      <c r="F34" s="1184" t="s">
        <v>377</v>
      </c>
      <c r="G34" s="1181"/>
      <c r="H34" s="1182" t="s">
        <v>378</v>
      </c>
      <c r="I34" s="1181"/>
      <c r="J34" s="1220">
        <f>IF(AND(Q36="",Q41="",Q46="",Q51="",Q56=""),"",SUM(Q36:Q59))</f>
        <v>0</v>
      </c>
      <c r="K34" s="1183" t="s">
        <v>379</v>
      </c>
      <c r="L34" s="1185" t="s">
        <v>377</v>
      </c>
      <c r="M34" s="1866" t="s">
        <v>380</v>
      </c>
      <c r="N34" s="1867"/>
      <c r="O34" s="1867"/>
      <c r="P34" s="1867"/>
      <c r="Q34" s="1868"/>
      <c r="R34" s="1869" t="s">
        <v>389</v>
      </c>
      <c r="S34" s="1869" t="s">
        <v>390</v>
      </c>
      <c r="T34" s="1869" t="s">
        <v>391</v>
      </c>
      <c r="U34" s="1869" t="s">
        <v>392</v>
      </c>
      <c r="V34" s="1871" t="s">
        <v>393</v>
      </c>
      <c r="X34" s="1180" t="s">
        <v>375</v>
      </c>
      <c r="Y34" s="1181"/>
      <c r="Z34" s="1220">
        <f>IF(AF34="",#N/A,SUM(Y40:AH40,Y45:AH45,Y50:AH50,Y55:AH55,Y60:AH60))</f>
        <v>1</v>
      </c>
      <c r="AA34" s="1183" t="s">
        <v>376</v>
      </c>
      <c r="AB34" s="1184" t="s">
        <v>377</v>
      </c>
      <c r="AC34" s="1181"/>
      <c r="AD34" s="1182" t="s">
        <v>378</v>
      </c>
      <c r="AE34" s="1181"/>
      <c r="AF34" s="1220">
        <f>IF(AND(AM36="",AM41="",AM46="",AM51="",AM56=""),"",SUM(AM36:AM59))</f>
        <v>1</v>
      </c>
      <c r="AG34" s="1183" t="s">
        <v>379</v>
      </c>
      <c r="AH34" s="1185" t="s">
        <v>377</v>
      </c>
      <c r="AI34" s="1866" t="s">
        <v>380</v>
      </c>
      <c r="AJ34" s="1867"/>
      <c r="AK34" s="1867"/>
      <c r="AL34" s="1867"/>
      <c r="AM34" s="1868"/>
      <c r="AN34" s="1869" t="s">
        <v>389</v>
      </c>
      <c r="AO34" s="1869" t="s">
        <v>390</v>
      </c>
      <c r="AP34" s="1869" t="s">
        <v>391</v>
      </c>
      <c r="AQ34" s="1869" t="s">
        <v>392</v>
      </c>
      <c r="AR34" s="1871" t="s">
        <v>393</v>
      </c>
      <c r="AT34" s="1180" t="s">
        <v>375</v>
      </c>
      <c r="AU34" s="1181"/>
      <c r="AV34" s="1220">
        <f>IF(BB34="",#N/A,SUM(AU40:BD40,AU45:BD45,AU50:BD50,AU55:BD55,AU60:BD60))</f>
        <v>1</v>
      </c>
      <c r="AW34" s="1183" t="s">
        <v>376</v>
      </c>
      <c r="AX34" s="1184" t="s">
        <v>377</v>
      </c>
      <c r="AY34" s="1181"/>
      <c r="AZ34" s="1182" t="s">
        <v>378</v>
      </c>
      <c r="BA34" s="1181"/>
      <c r="BB34" s="1220">
        <f>IF(AND(BI36="",BI41="",BI46="",BI51="",BI56=""),"",SUM(BI36:BI59))</f>
        <v>1</v>
      </c>
      <c r="BC34" s="1183" t="s">
        <v>379</v>
      </c>
      <c r="BD34" s="1185" t="s">
        <v>377</v>
      </c>
      <c r="BE34" s="1866" t="s">
        <v>380</v>
      </c>
      <c r="BF34" s="1867"/>
      <c r="BG34" s="1867"/>
      <c r="BH34" s="1867"/>
      <c r="BI34" s="1868"/>
      <c r="BJ34" s="1869" t="s">
        <v>389</v>
      </c>
      <c r="BK34" s="1869" t="s">
        <v>390</v>
      </c>
      <c r="BL34" s="1869" t="s">
        <v>391</v>
      </c>
      <c r="BM34" s="1869" t="s">
        <v>392</v>
      </c>
      <c r="BN34" s="1871" t="s">
        <v>393</v>
      </c>
    </row>
    <row r="35" spans="2:66" ht="13.5">
      <c r="B35" s="1186" t="s">
        <v>381</v>
      </c>
      <c r="C35" s="1187">
        <v>1</v>
      </c>
      <c r="D35" s="1218">
        <v>2</v>
      </c>
      <c r="E35" s="1188">
        <v>3</v>
      </c>
      <c r="F35" s="1188">
        <v>4</v>
      </c>
      <c r="G35" s="1188">
        <v>5</v>
      </c>
      <c r="H35" s="1188">
        <v>6</v>
      </c>
      <c r="I35" s="1218">
        <v>7</v>
      </c>
      <c r="J35" s="1218">
        <v>8</v>
      </c>
      <c r="K35" s="1218">
        <v>9</v>
      </c>
      <c r="L35" s="1219">
        <v>10</v>
      </c>
      <c r="M35" s="1189" t="s">
        <v>382</v>
      </c>
      <c r="N35" s="1190" t="s">
        <v>383</v>
      </c>
      <c r="O35" s="1191" t="s">
        <v>384</v>
      </c>
      <c r="P35" s="1192" t="s">
        <v>385</v>
      </c>
      <c r="Q35" s="1193" t="s">
        <v>386</v>
      </c>
      <c r="R35" s="1870"/>
      <c r="S35" s="1870"/>
      <c r="T35" s="1870"/>
      <c r="U35" s="1870"/>
      <c r="V35" s="1872"/>
      <c r="X35" s="1186" t="s">
        <v>381</v>
      </c>
      <c r="Y35" s="1187">
        <v>1</v>
      </c>
      <c r="Z35" s="1218">
        <v>2</v>
      </c>
      <c r="AA35" s="1188">
        <v>3</v>
      </c>
      <c r="AB35" s="1188">
        <v>4</v>
      </c>
      <c r="AC35" s="1188">
        <v>5</v>
      </c>
      <c r="AD35" s="1188">
        <v>6</v>
      </c>
      <c r="AE35" s="1218">
        <v>7</v>
      </c>
      <c r="AF35" s="1218">
        <v>8</v>
      </c>
      <c r="AG35" s="1218">
        <v>9</v>
      </c>
      <c r="AH35" s="1219">
        <v>10</v>
      </c>
      <c r="AI35" s="1189" t="s">
        <v>382</v>
      </c>
      <c r="AJ35" s="1190" t="s">
        <v>383</v>
      </c>
      <c r="AK35" s="1191" t="s">
        <v>384</v>
      </c>
      <c r="AL35" s="1192" t="s">
        <v>385</v>
      </c>
      <c r="AM35" s="1193" t="s">
        <v>386</v>
      </c>
      <c r="AN35" s="1870"/>
      <c r="AO35" s="1870"/>
      <c r="AP35" s="1870"/>
      <c r="AQ35" s="1870"/>
      <c r="AR35" s="1872"/>
      <c r="AT35" s="1186" t="s">
        <v>381</v>
      </c>
      <c r="AU35" s="1187">
        <v>1</v>
      </c>
      <c r="AV35" s="1218">
        <v>2</v>
      </c>
      <c r="AW35" s="1188">
        <v>3</v>
      </c>
      <c r="AX35" s="1188">
        <v>4</v>
      </c>
      <c r="AY35" s="1188">
        <v>5</v>
      </c>
      <c r="AZ35" s="1188">
        <v>6</v>
      </c>
      <c r="BA35" s="1218">
        <v>7</v>
      </c>
      <c r="BB35" s="1218">
        <v>8</v>
      </c>
      <c r="BC35" s="1218">
        <v>9</v>
      </c>
      <c r="BD35" s="1219">
        <v>10</v>
      </c>
      <c r="BE35" s="1189" t="s">
        <v>382</v>
      </c>
      <c r="BF35" s="1190" t="s">
        <v>383</v>
      </c>
      <c r="BG35" s="1191" t="s">
        <v>384</v>
      </c>
      <c r="BH35" s="1192" t="s">
        <v>385</v>
      </c>
      <c r="BI35" s="1193" t="s">
        <v>386</v>
      </c>
      <c r="BJ35" s="1870"/>
      <c r="BK35" s="1870"/>
      <c r="BL35" s="1870"/>
      <c r="BM35" s="1870"/>
      <c r="BN35" s="1872"/>
    </row>
    <row r="36" spans="2:66" ht="14.25" customHeight="1">
      <c r="B36" s="1194" t="s">
        <v>387</v>
      </c>
      <c r="C36" s="1195">
        <v>0</v>
      </c>
      <c r="D36" s="1196"/>
      <c r="E36" s="1196"/>
      <c r="F36" s="1196"/>
      <c r="G36" s="1196"/>
      <c r="H36" s="1196"/>
      <c r="I36" s="1196"/>
      <c r="J36" s="1196"/>
      <c r="K36" s="1196"/>
      <c r="L36" s="1197"/>
      <c r="M36" s="1858">
        <f>SUM(C36:L36)</f>
        <v>0</v>
      </c>
      <c r="N36" s="1860">
        <f>SUM(C37:L37)</f>
        <v>0</v>
      </c>
      <c r="O36" s="1860">
        <f>SUM(C38:L38)</f>
        <v>0</v>
      </c>
      <c r="P36" s="1862">
        <f>SUM(C39:L39)</f>
        <v>0</v>
      </c>
      <c r="Q36" s="1854">
        <f>IF(G33="","",SUM(N36:P40))</f>
        <v>0</v>
      </c>
      <c r="R36" s="1856"/>
      <c r="S36" s="1856"/>
      <c r="T36" s="1856"/>
      <c r="U36" s="1856"/>
      <c r="V36" s="1864" t="s">
        <v>480</v>
      </c>
      <c r="X36" s="1194" t="s">
        <v>387</v>
      </c>
      <c r="Y36" s="1195">
        <v>0</v>
      </c>
      <c r="Z36" s="1196"/>
      <c r="AA36" s="1196"/>
      <c r="AB36" s="1196"/>
      <c r="AC36" s="1196"/>
      <c r="AD36" s="1196"/>
      <c r="AE36" s="1196"/>
      <c r="AF36" s="1196"/>
      <c r="AG36" s="1196"/>
      <c r="AH36" s="1197"/>
      <c r="AI36" s="1858">
        <f>SUM(Y36:AH36)</f>
        <v>0</v>
      </c>
      <c r="AJ36" s="1860">
        <f>SUM(Y37:AH37)</f>
        <v>0</v>
      </c>
      <c r="AK36" s="1860">
        <f>SUM(Y38:AH38)</f>
        <v>0</v>
      </c>
      <c r="AL36" s="1862">
        <f>SUM(Y39:AH39)</f>
        <v>1</v>
      </c>
      <c r="AM36" s="1854">
        <f>IF(AC33="","",SUM(AJ36:AL40))</f>
        <v>1</v>
      </c>
      <c r="AN36" s="1856"/>
      <c r="AO36" s="1856"/>
      <c r="AP36" s="1856"/>
      <c r="AQ36" s="1856"/>
      <c r="AR36" s="1864" t="s">
        <v>480</v>
      </c>
      <c r="AT36" s="1194" t="s">
        <v>387</v>
      </c>
      <c r="AU36" s="1195">
        <v>10</v>
      </c>
      <c r="AV36" s="1196"/>
      <c r="AW36" s="1196"/>
      <c r="AX36" s="1196"/>
      <c r="AY36" s="1196"/>
      <c r="AZ36" s="1196"/>
      <c r="BA36" s="1196"/>
      <c r="BB36" s="1196"/>
      <c r="BC36" s="1196"/>
      <c r="BD36" s="1197"/>
      <c r="BE36" s="1858">
        <f>SUM(AU36:BD36)</f>
        <v>10</v>
      </c>
      <c r="BF36" s="1860">
        <f>SUM(AU37:BD37)</f>
        <v>0</v>
      </c>
      <c r="BG36" s="1860">
        <f>SUM(AU38:BD38)</f>
        <v>0</v>
      </c>
      <c r="BH36" s="1862">
        <f>SUM(AU39:BD39)</f>
        <v>1</v>
      </c>
      <c r="BI36" s="1854">
        <f>IF(AY33="","",SUM(BF36:BH40))</f>
        <v>1</v>
      </c>
      <c r="BJ36" s="1856"/>
      <c r="BK36" s="1856"/>
      <c r="BL36" s="1856"/>
      <c r="BM36" s="1856"/>
      <c r="BN36" s="1864" t="s">
        <v>480</v>
      </c>
    </row>
    <row r="37" spans="2:66" ht="13.5">
      <c r="B37" s="1198" t="s">
        <v>383</v>
      </c>
      <c r="C37" s="1199">
        <v>0</v>
      </c>
      <c r="D37" s="1200"/>
      <c r="E37" s="1200"/>
      <c r="F37" s="1200"/>
      <c r="G37" s="1200"/>
      <c r="H37" s="1200"/>
      <c r="I37" s="1200"/>
      <c r="J37" s="1200"/>
      <c r="K37" s="1200"/>
      <c r="L37" s="1201"/>
      <c r="M37" s="1843"/>
      <c r="N37" s="1846"/>
      <c r="O37" s="1846"/>
      <c r="P37" s="1849"/>
      <c r="Q37" s="1852"/>
      <c r="R37" s="1840"/>
      <c r="S37" s="1840"/>
      <c r="T37" s="1840"/>
      <c r="U37" s="1840"/>
      <c r="V37" s="1837"/>
      <c r="X37" s="1198" t="s">
        <v>383</v>
      </c>
      <c r="Y37" s="1199">
        <v>0</v>
      </c>
      <c r="Z37" s="1200"/>
      <c r="AA37" s="1200"/>
      <c r="AB37" s="1200"/>
      <c r="AC37" s="1200"/>
      <c r="AD37" s="1200"/>
      <c r="AE37" s="1200"/>
      <c r="AF37" s="1200"/>
      <c r="AG37" s="1200"/>
      <c r="AH37" s="1201"/>
      <c r="AI37" s="1843"/>
      <c r="AJ37" s="1846"/>
      <c r="AK37" s="1846"/>
      <c r="AL37" s="1849"/>
      <c r="AM37" s="1852"/>
      <c r="AN37" s="1840"/>
      <c r="AO37" s="1840"/>
      <c r="AP37" s="1840"/>
      <c r="AQ37" s="1840"/>
      <c r="AR37" s="1837"/>
      <c r="AT37" s="1198" t="s">
        <v>383</v>
      </c>
      <c r="AU37" s="1199">
        <v>0</v>
      </c>
      <c r="AV37" s="1200"/>
      <c r="AW37" s="1200"/>
      <c r="AX37" s="1200"/>
      <c r="AY37" s="1200"/>
      <c r="AZ37" s="1200"/>
      <c r="BA37" s="1200"/>
      <c r="BB37" s="1200"/>
      <c r="BC37" s="1200"/>
      <c r="BD37" s="1201"/>
      <c r="BE37" s="1843"/>
      <c r="BF37" s="1846"/>
      <c r="BG37" s="1846"/>
      <c r="BH37" s="1849"/>
      <c r="BI37" s="1852"/>
      <c r="BJ37" s="1840"/>
      <c r="BK37" s="1840"/>
      <c r="BL37" s="1840"/>
      <c r="BM37" s="1840"/>
      <c r="BN37" s="1837"/>
    </row>
    <row r="38" spans="2:66" ht="13.5">
      <c r="B38" s="1202" t="s">
        <v>384</v>
      </c>
      <c r="C38" s="1203"/>
      <c r="D38" s="1204"/>
      <c r="E38" s="1204"/>
      <c r="F38" s="1204"/>
      <c r="G38" s="1204"/>
      <c r="H38" s="1204"/>
      <c r="I38" s="1204"/>
      <c r="J38" s="1204"/>
      <c r="K38" s="1204"/>
      <c r="L38" s="1205"/>
      <c r="M38" s="1843"/>
      <c r="N38" s="1846"/>
      <c r="O38" s="1846"/>
      <c r="P38" s="1849"/>
      <c r="Q38" s="1852"/>
      <c r="R38" s="1840"/>
      <c r="S38" s="1840"/>
      <c r="T38" s="1840"/>
      <c r="U38" s="1840"/>
      <c r="V38" s="1837"/>
      <c r="X38" s="1202" t="s">
        <v>384</v>
      </c>
      <c r="Y38" s="1203"/>
      <c r="Z38" s="1204"/>
      <c r="AA38" s="1204"/>
      <c r="AB38" s="1204"/>
      <c r="AC38" s="1204"/>
      <c r="AD38" s="1204"/>
      <c r="AE38" s="1204"/>
      <c r="AF38" s="1204"/>
      <c r="AG38" s="1204"/>
      <c r="AH38" s="1205"/>
      <c r="AI38" s="1843"/>
      <c r="AJ38" s="1846"/>
      <c r="AK38" s="1846"/>
      <c r="AL38" s="1849"/>
      <c r="AM38" s="1852"/>
      <c r="AN38" s="1840"/>
      <c r="AO38" s="1840"/>
      <c r="AP38" s="1840"/>
      <c r="AQ38" s="1840"/>
      <c r="AR38" s="1837"/>
      <c r="AT38" s="1202" t="s">
        <v>384</v>
      </c>
      <c r="AU38" s="1203"/>
      <c r="AV38" s="1204"/>
      <c r="AW38" s="1204"/>
      <c r="AX38" s="1204"/>
      <c r="AY38" s="1204"/>
      <c r="AZ38" s="1204"/>
      <c r="BA38" s="1204"/>
      <c r="BB38" s="1204"/>
      <c r="BC38" s="1204"/>
      <c r="BD38" s="1205"/>
      <c r="BE38" s="1843"/>
      <c r="BF38" s="1846"/>
      <c r="BG38" s="1846"/>
      <c r="BH38" s="1849"/>
      <c r="BI38" s="1852"/>
      <c r="BJ38" s="1840"/>
      <c r="BK38" s="1840"/>
      <c r="BL38" s="1840"/>
      <c r="BM38" s="1840"/>
      <c r="BN38" s="1837"/>
    </row>
    <row r="39" spans="2:66" ht="13.5">
      <c r="B39" s="1206" t="s">
        <v>385</v>
      </c>
      <c r="C39" s="1207">
        <v>0</v>
      </c>
      <c r="D39" s="1208"/>
      <c r="E39" s="1208"/>
      <c r="F39" s="1208"/>
      <c r="G39" s="1208"/>
      <c r="H39" s="1208"/>
      <c r="I39" s="1208"/>
      <c r="J39" s="1208"/>
      <c r="K39" s="1208"/>
      <c r="L39" s="1209"/>
      <c r="M39" s="1843"/>
      <c r="N39" s="1846"/>
      <c r="O39" s="1846"/>
      <c r="P39" s="1849"/>
      <c r="Q39" s="1852"/>
      <c r="R39" s="1840"/>
      <c r="S39" s="1840"/>
      <c r="T39" s="1840"/>
      <c r="U39" s="1840"/>
      <c r="V39" s="1837"/>
      <c r="X39" s="1206" t="s">
        <v>385</v>
      </c>
      <c r="Y39" s="1207">
        <v>1</v>
      </c>
      <c r="Z39" s="1208"/>
      <c r="AA39" s="1208"/>
      <c r="AB39" s="1208"/>
      <c r="AC39" s="1208"/>
      <c r="AD39" s="1208"/>
      <c r="AE39" s="1208"/>
      <c r="AF39" s="1208"/>
      <c r="AG39" s="1208"/>
      <c r="AH39" s="1209"/>
      <c r="AI39" s="1843"/>
      <c r="AJ39" s="1846"/>
      <c r="AK39" s="1846"/>
      <c r="AL39" s="1849"/>
      <c r="AM39" s="1852"/>
      <c r="AN39" s="1840"/>
      <c r="AO39" s="1840"/>
      <c r="AP39" s="1840"/>
      <c r="AQ39" s="1840"/>
      <c r="AR39" s="1837"/>
      <c r="AT39" s="1206" t="s">
        <v>385</v>
      </c>
      <c r="AU39" s="1207">
        <v>1</v>
      </c>
      <c r="AV39" s="1208"/>
      <c r="AW39" s="1208"/>
      <c r="AX39" s="1208"/>
      <c r="AY39" s="1208"/>
      <c r="AZ39" s="1208"/>
      <c r="BA39" s="1208"/>
      <c r="BB39" s="1208"/>
      <c r="BC39" s="1208"/>
      <c r="BD39" s="1209"/>
      <c r="BE39" s="1843"/>
      <c r="BF39" s="1846"/>
      <c r="BG39" s="1846"/>
      <c r="BH39" s="1849"/>
      <c r="BI39" s="1852"/>
      <c r="BJ39" s="1840"/>
      <c r="BK39" s="1840"/>
      <c r="BL39" s="1840"/>
      <c r="BM39" s="1840"/>
      <c r="BN39" s="1837"/>
    </row>
    <row r="40" spans="2:66" ht="14" thickBot="1">
      <c r="B40" s="1210" t="s">
        <v>388</v>
      </c>
      <c r="C40" s="1221" t="str">
        <f>IF(OR(C37&gt;0,C38&gt;0,C39&gt;0),1,"")</f>
        <v/>
      </c>
      <c r="D40" s="1222" t="str">
        <f>IF(OR(D37&gt;0,D38&gt;0,D39&gt;0),1,"")</f>
        <v/>
      </c>
      <c r="E40" s="1222" t="str">
        <f t="shared" ref="E40:L40" si="15">IF(OR(E37&gt;0,E38&gt;0,E39&gt;0),1,"")</f>
        <v/>
      </c>
      <c r="F40" s="1222" t="str">
        <f t="shared" si="15"/>
        <v/>
      </c>
      <c r="G40" s="1222" t="str">
        <f t="shared" si="15"/>
        <v/>
      </c>
      <c r="H40" s="1222" t="str">
        <f t="shared" si="15"/>
        <v/>
      </c>
      <c r="I40" s="1222" t="str">
        <f t="shared" si="15"/>
        <v/>
      </c>
      <c r="J40" s="1222" t="str">
        <f t="shared" si="15"/>
        <v/>
      </c>
      <c r="K40" s="1222" t="str">
        <f t="shared" si="15"/>
        <v/>
      </c>
      <c r="L40" s="1222" t="str">
        <f t="shared" si="15"/>
        <v/>
      </c>
      <c r="M40" s="1859"/>
      <c r="N40" s="1861"/>
      <c r="O40" s="1861"/>
      <c r="P40" s="1863"/>
      <c r="Q40" s="1855"/>
      <c r="R40" s="1857"/>
      <c r="S40" s="1857"/>
      <c r="T40" s="1857"/>
      <c r="U40" s="1857"/>
      <c r="V40" s="1865"/>
      <c r="X40" s="1210" t="s">
        <v>388</v>
      </c>
      <c r="Y40" s="1221">
        <f>IF(OR(Y37&gt;0,Y38&gt;0,Y39&gt;0),1,"")</f>
        <v>1</v>
      </c>
      <c r="Z40" s="1222" t="str">
        <f>IF(OR(Z37&gt;0,Z38&gt;0,Z39&gt;0),1,"")</f>
        <v/>
      </c>
      <c r="AA40" s="1222" t="str">
        <f t="shared" ref="AA40:AH40" si="16">IF(OR(AA37&gt;0,AA38&gt;0,AA39&gt;0),1,"")</f>
        <v/>
      </c>
      <c r="AB40" s="1222" t="str">
        <f t="shared" si="16"/>
        <v/>
      </c>
      <c r="AC40" s="1222" t="str">
        <f t="shared" si="16"/>
        <v/>
      </c>
      <c r="AD40" s="1222" t="str">
        <f t="shared" si="16"/>
        <v/>
      </c>
      <c r="AE40" s="1222" t="str">
        <f t="shared" si="16"/>
        <v/>
      </c>
      <c r="AF40" s="1222" t="str">
        <f t="shared" si="16"/>
        <v/>
      </c>
      <c r="AG40" s="1222" t="str">
        <f t="shared" si="16"/>
        <v/>
      </c>
      <c r="AH40" s="1222" t="str">
        <f t="shared" si="16"/>
        <v/>
      </c>
      <c r="AI40" s="1859"/>
      <c r="AJ40" s="1861"/>
      <c r="AK40" s="1861"/>
      <c r="AL40" s="1863"/>
      <c r="AM40" s="1855"/>
      <c r="AN40" s="1857"/>
      <c r="AO40" s="1857"/>
      <c r="AP40" s="1857"/>
      <c r="AQ40" s="1857"/>
      <c r="AR40" s="1865"/>
      <c r="AT40" s="1210" t="s">
        <v>388</v>
      </c>
      <c r="AU40" s="1221">
        <f>IF(OR(AU37&gt;0,AU38&gt;0,AU39&gt;0),1,"")</f>
        <v>1</v>
      </c>
      <c r="AV40" s="1222" t="str">
        <f>IF(OR(AV37&gt;0,AV38&gt;0,AV39&gt;0),1,"")</f>
        <v/>
      </c>
      <c r="AW40" s="1222" t="str">
        <f t="shared" ref="AW40:BD40" si="17">IF(OR(AW37&gt;0,AW38&gt;0,AW39&gt;0),1,"")</f>
        <v/>
      </c>
      <c r="AX40" s="1222" t="str">
        <f t="shared" si="17"/>
        <v/>
      </c>
      <c r="AY40" s="1222" t="str">
        <f t="shared" si="17"/>
        <v/>
      </c>
      <c r="AZ40" s="1222" t="str">
        <f t="shared" si="17"/>
        <v/>
      </c>
      <c r="BA40" s="1222" t="str">
        <f t="shared" si="17"/>
        <v/>
      </c>
      <c r="BB40" s="1222" t="str">
        <f t="shared" si="17"/>
        <v/>
      </c>
      <c r="BC40" s="1222" t="str">
        <f t="shared" si="17"/>
        <v/>
      </c>
      <c r="BD40" s="1222" t="str">
        <f t="shared" si="17"/>
        <v/>
      </c>
      <c r="BE40" s="1859"/>
      <c r="BF40" s="1861"/>
      <c r="BG40" s="1861"/>
      <c r="BH40" s="1863"/>
      <c r="BI40" s="1855"/>
      <c r="BJ40" s="1857"/>
      <c r="BK40" s="1857"/>
      <c r="BL40" s="1857"/>
      <c r="BM40" s="1857"/>
      <c r="BN40" s="1865"/>
    </row>
    <row r="41" spans="2:66" ht="15" customHeight="1" thickTop="1">
      <c r="B41" s="1211" t="s">
        <v>387</v>
      </c>
      <c r="C41" s="1212"/>
      <c r="D41" s="1213"/>
      <c r="E41" s="1213"/>
      <c r="F41" s="1213"/>
      <c r="G41" s="1213"/>
      <c r="H41" s="1213"/>
      <c r="I41" s="1213"/>
      <c r="J41" s="1213"/>
      <c r="K41" s="1213"/>
      <c r="L41" s="1214"/>
      <c r="M41" s="1858">
        <f>SUM(C41:L41)</f>
        <v>0</v>
      </c>
      <c r="N41" s="1860">
        <f>SUM(C42:L42)</f>
        <v>0</v>
      </c>
      <c r="O41" s="1860">
        <f>SUM(C43:L43)</f>
        <v>0</v>
      </c>
      <c r="P41" s="1862">
        <f>SUM(C44:L44)</f>
        <v>0</v>
      </c>
      <c r="Q41" s="1854">
        <f>IF(G33="","",SUM(N41:P45))</f>
        <v>0</v>
      </c>
      <c r="R41" s="1856"/>
      <c r="S41" s="1856"/>
      <c r="T41" s="1856"/>
      <c r="U41" s="1856"/>
      <c r="V41" s="1864" t="s">
        <v>395</v>
      </c>
      <c r="X41" s="1211" t="s">
        <v>387</v>
      </c>
      <c r="Y41" s="1212"/>
      <c r="Z41" s="1213"/>
      <c r="AA41" s="1213"/>
      <c r="AB41" s="1213"/>
      <c r="AC41" s="1213"/>
      <c r="AD41" s="1213"/>
      <c r="AE41" s="1213"/>
      <c r="AF41" s="1213"/>
      <c r="AG41" s="1213"/>
      <c r="AH41" s="1214"/>
      <c r="AI41" s="1858">
        <f>SUM(Y41:AH41)</f>
        <v>0</v>
      </c>
      <c r="AJ41" s="1860">
        <f>SUM(Y42:AH42)</f>
        <v>0</v>
      </c>
      <c r="AK41" s="1860">
        <f>SUM(Y43:AH43)</f>
        <v>0</v>
      </c>
      <c r="AL41" s="1862">
        <f>SUM(Y44:AH44)</f>
        <v>0</v>
      </c>
      <c r="AM41" s="1854">
        <f>IF(AC33="","",SUM(AJ41:AL45))</f>
        <v>0</v>
      </c>
      <c r="AN41" s="1856"/>
      <c r="AO41" s="1856"/>
      <c r="AP41" s="1856"/>
      <c r="AQ41" s="1856"/>
      <c r="AR41" s="1864" t="s">
        <v>395</v>
      </c>
      <c r="AT41" s="1211" t="s">
        <v>387</v>
      </c>
      <c r="AU41" s="1212"/>
      <c r="AV41" s="1213"/>
      <c r="AW41" s="1213"/>
      <c r="AX41" s="1213"/>
      <c r="AY41" s="1213"/>
      <c r="AZ41" s="1213"/>
      <c r="BA41" s="1213"/>
      <c r="BB41" s="1213"/>
      <c r="BC41" s="1213"/>
      <c r="BD41" s="1214"/>
      <c r="BE41" s="1858">
        <f>SUM(AU41:BD41)</f>
        <v>0</v>
      </c>
      <c r="BF41" s="1860">
        <f>SUM(AU42:BD42)</f>
        <v>0</v>
      </c>
      <c r="BG41" s="1860">
        <f>SUM(AU43:BD43)</f>
        <v>0</v>
      </c>
      <c r="BH41" s="1862">
        <f>SUM(AU44:BD44)</f>
        <v>0</v>
      </c>
      <c r="BI41" s="1854">
        <f>IF(AY33="","",SUM(BF41:BH45))</f>
        <v>0</v>
      </c>
      <c r="BJ41" s="1856"/>
      <c r="BK41" s="1856"/>
      <c r="BL41" s="1856"/>
      <c r="BM41" s="1856"/>
      <c r="BN41" s="1864" t="s">
        <v>481</v>
      </c>
    </row>
    <row r="42" spans="2:66" ht="13.5">
      <c r="B42" s="1198" t="s">
        <v>383</v>
      </c>
      <c r="C42" s="1199"/>
      <c r="D42" s="1200"/>
      <c r="E42" s="1200"/>
      <c r="F42" s="1200"/>
      <c r="G42" s="1200"/>
      <c r="H42" s="1200"/>
      <c r="I42" s="1200"/>
      <c r="J42" s="1200"/>
      <c r="K42" s="1200"/>
      <c r="L42" s="1201"/>
      <c r="M42" s="1843"/>
      <c r="N42" s="1846"/>
      <c r="O42" s="1846"/>
      <c r="P42" s="1849"/>
      <c r="Q42" s="1852"/>
      <c r="R42" s="1840"/>
      <c r="S42" s="1840"/>
      <c r="T42" s="1840"/>
      <c r="U42" s="1840"/>
      <c r="V42" s="1837"/>
      <c r="X42" s="1198" t="s">
        <v>383</v>
      </c>
      <c r="Y42" s="1199"/>
      <c r="Z42" s="1200"/>
      <c r="AA42" s="1200"/>
      <c r="AB42" s="1200"/>
      <c r="AC42" s="1200"/>
      <c r="AD42" s="1200"/>
      <c r="AE42" s="1200"/>
      <c r="AF42" s="1200"/>
      <c r="AG42" s="1200"/>
      <c r="AH42" s="1201"/>
      <c r="AI42" s="1843"/>
      <c r="AJ42" s="1846"/>
      <c r="AK42" s="1846"/>
      <c r="AL42" s="1849"/>
      <c r="AM42" s="1852"/>
      <c r="AN42" s="1840"/>
      <c r="AO42" s="1840"/>
      <c r="AP42" s="1840"/>
      <c r="AQ42" s="1840"/>
      <c r="AR42" s="1837"/>
      <c r="AT42" s="1198" t="s">
        <v>383</v>
      </c>
      <c r="AU42" s="1199"/>
      <c r="AV42" s="1200"/>
      <c r="AW42" s="1200"/>
      <c r="AX42" s="1200"/>
      <c r="AY42" s="1200"/>
      <c r="AZ42" s="1200"/>
      <c r="BA42" s="1200"/>
      <c r="BB42" s="1200"/>
      <c r="BC42" s="1200"/>
      <c r="BD42" s="1201"/>
      <c r="BE42" s="1843"/>
      <c r="BF42" s="1846"/>
      <c r="BG42" s="1846"/>
      <c r="BH42" s="1849"/>
      <c r="BI42" s="1852"/>
      <c r="BJ42" s="1840"/>
      <c r="BK42" s="1840"/>
      <c r="BL42" s="1840"/>
      <c r="BM42" s="1840"/>
      <c r="BN42" s="1837"/>
    </row>
    <row r="43" spans="2:66" ht="13.5">
      <c r="B43" s="1202" t="s">
        <v>384</v>
      </c>
      <c r="C43" s="1203"/>
      <c r="D43" s="1204"/>
      <c r="E43" s="1204"/>
      <c r="F43" s="1204"/>
      <c r="G43" s="1204"/>
      <c r="H43" s="1204"/>
      <c r="I43" s="1204"/>
      <c r="J43" s="1204"/>
      <c r="K43" s="1204"/>
      <c r="L43" s="1205"/>
      <c r="M43" s="1843"/>
      <c r="N43" s="1846"/>
      <c r="O43" s="1846"/>
      <c r="P43" s="1849"/>
      <c r="Q43" s="1852"/>
      <c r="R43" s="1840"/>
      <c r="S43" s="1840"/>
      <c r="T43" s="1840"/>
      <c r="U43" s="1840"/>
      <c r="V43" s="1837"/>
      <c r="X43" s="1202" t="s">
        <v>384</v>
      </c>
      <c r="Y43" s="1203"/>
      <c r="Z43" s="1204"/>
      <c r="AA43" s="1204"/>
      <c r="AB43" s="1204"/>
      <c r="AC43" s="1204"/>
      <c r="AD43" s="1204"/>
      <c r="AE43" s="1204"/>
      <c r="AF43" s="1204"/>
      <c r="AG43" s="1204"/>
      <c r="AH43" s="1205"/>
      <c r="AI43" s="1843"/>
      <c r="AJ43" s="1846"/>
      <c r="AK43" s="1846"/>
      <c r="AL43" s="1849"/>
      <c r="AM43" s="1852"/>
      <c r="AN43" s="1840"/>
      <c r="AO43" s="1840"/>
      <c r="AP43" s="1840"/>
      <c r="AQ43" s="1840"/>
      <c r="AR43" s="1837"/>
      <c r="AT43" s="1202" t="s">
        <v>384</v>
      </c>
      <c r="AU43" s="1203"/>
      <c r="AV43" s="1204"/>
      <c r="AW43" s="1204"/>
      <c r="AX43" s="1204"/>
      <c r="AY43" s="1204"/>
      <c r="AZ43" s="1204"/>
      <c r="BA43" s="1204"/>
      <c r="BB43" s="1204"/>
      <c r="BC43" s="1204"/>
      <c r="BD43" s="1205"/>
      <c r="BE43" s="1843"/>
      <c r="BF43" s="1846"/>
      <c r="BG43" s="1846"/>
      <c r="BH43" s="1849"/>
      <c r="BI43" s="1852"/>
      <c r="BJ43" s="1840"/>
      <c r="BK43" s="1840"/>
      <c r="BL43" s="1840"/>
      <c r="BM43" s="1840"/>
      <c r="BN43" s="1837"/>
    </row>
    <row r="44" spans="2:66" ht="13.5">
      <c r="B44" s="1202" t="s">
        <v>385</v>
      </c>
      <c r="C44" s="1203"/>
      <c r="D44" s="1204"/>
      <c r="E44" s="1204"/>
      <c r="F44" s="1204"/>
      <c r="G44" s="1204"/>
      <c r="H44" s="1204"/>
      <c r="I44" s="1204"/>
      <c r="J44" s="1204"/>
      <c r="K44" s="1204"/>
      <c r="L44" s="1205"/>
      <c r="M44" s="1843"/>
      <c r="N44" s="1846"/>
      <c r="O44" s="1846"/>
      <c r="P44" s="1849"/>
      <c r="Q44" s="1852"/>
      <c r="R44" s="1840"/>
      <c r="S44" s="1840"/>
      <c r="T44" s="1840"/>
      <c r="U44" s="1840"/>
      <c r="V44" s="1837"/>
      <c r="X44" s="1202" t="s">
        <v>385</v>
      </c>
      <c r="Y44" s="1203"/>
      <c r="Z44" s="1204"/>
      <c r="AA44" s="1204"/>
      <c r="AB44" s="1204"/>
      <c r="AC44" s="1204"/>
      <c r="AD44" s="1204"/>
      <c r="AE44" s="1204"/>
      <c r="AF44" s="1204"/>
      <c r="AG44" s="1204"/>
      <c r="AH44" s="1205"/>
      <c r="AI44" s="1843"/>
      <c r="AJ44" s="1846"/>
      <c r="AK44" s="1846"/>
      <c r="AL44" s="1849"/>
      <c r="AM44" s="1852"/>
      <c r="AN44" s="1840"/>
      <c r="AO44" s="1840"/>
      <c r="AP44" s="1840"/>
      <c r="AQ44" s="1840"/>
      <c r="AR44" s="1837"/>
      <c r="AT44" s="1202" t="s">
        <v>385</v>
      </c>
      <c r="AU44" s="1203"/>
      <c r="AV44" s="1204"/>
      <c r="AW44" s="1204"/>
      <c r="AX44" s="1204"/>
      <c r="AY44" s="1204"/>
      <c r="AZ44" s="1204"/>
      <c r="BA44" s="1204"/>
      <c r="BB44" s="1204"/>
      <c r="BC44" s="1204"/>
      <c r="BD44" s="1205"/>
      <c r="BE44" s="1843"/>
      <c r="BF44" s="1846"/>
      <c r="BG44" s="1846"/>
      <c r="BH44" s="1849"/>
      <c r="BI44" s="1852"/>
      <c r="BJ44" s="1840"/>
      <c r="BK44" s="1840"/>
      <c r="BL44" s="1840"/>
      <c r="BM44" s="1840"/>
      <c r="BN44" s="1837"/>
    </row>
    <row r="45" spans="2:66" ht="14" thickBot="1">
      <c r="B45" s="1210" t="s">
        <v>388</v>
      </c>
      <c r="C45" s="1221" t="str">
        <f>IF(OR(C42&gt;0,C43&gt;0,C44&gt;0),1,"")</f>
        <v/>
      </c>
      <c r="D45" s="1222" t="str">
        <f>IF(OR(D42&gt;0,D43&gt;0,D44&gt;0),1,"")</f>
        <v/>
      </c>
      <c r="E45" s="1222" t="str">
        <f t="shared" ref="E45:L45" si="18">IF(OR(E42&gt;0,E43&gt;0,E44&gt;0),1,"")</f>
        <v/>
      </c>
      <c r="F45" s="1222" t="str">
        <f t="shared" si="18"/>
        <v/>
      </c>
      <c r="G45" s="1222" t="str">
        <f t="shared" si="18"/>
        <v/>
      </c>
      <c r="H45" s="1222" t="str">
        <f t="shared" si="18"/>
        <v/>
      </c>
      <c r="I45" s="1222" t="str">
        <f t="shared" si="18"/>
        <v/>
      </c>
      <c r="J45" s="1222" t="str">
        <f t="shared" si="18"/>
        <v/>
      </c>
      <c r="K45" s="1222" t="str">
        <f t="shared" si="18"/>
        <v/>
      </c>
      <c r="L45" s="1222" t="str">
        <f t="shared" si="18"/>
        <v/>
      </c>
      <c r="M45" s="1859"/>
      <c r="N45" s="1861"/>
      <c r="O45" s="1861"/>
      <c r="P45" s="1863"/>
      <c r="Q45" s="1855"/>
      <c r="R45" s="1857"/>
      <c r="S45" s="1857"/>
      <c r="T45" s="1857"/>
      <c r="U45" s="1857"/>
      <c r="V45" s="1865"/>
      <c r="X45" s="1210" t="s">
        <v>388</v>
      </c>
      <c r="Y45" s="1221" t="str">
        <f>IF(OR(Y42&gt;0,Y43&gt;0,Y44&gt;0),1,"")</f>
        <v/>
      </c>
      <c r="Z45" s="1222" t="str">
        <f>IF(OR(Z42&gt;0,Z43&gt;0,Z44&gt;0),1,"")</f>
        <v/>
      </c>
      <c r="AA45" s="1222" t="str">
        <f t="shared" ref="AA45:AH45" si="19">IF(OR(AA42&gt;0,AA43&gt;0,AA44&gt;0),1,"")</f>
        <v/>
      </c>
      <c r="AB45" s="1222" t="str">
        <f t="shared" si="19"/>
        <v/>
      </c>
      <c r="AC45" s="1222" t="str">
        <f t="shared" si="19"/>
        <v/>
      </c>
      <c r="AD45" s="1222" t="str">
        <f t="shared" si="19"/>
        <v/>
      </c>
      <c r="AE45" s="1222" t="str">
        <f t="shared" si="19"/>
        <v/>
      </c>
      <c r="AF45" s="1222" t="str">
        <f t="shared" si="19"/>
        <v/>
      </c>
      <c r="AG45" s="1222" t="str">
        <f t="shared" si="19"/>
        <v/>
      </c>
      <c r="AH45" s="1222" t="str">
        <f t="shared" si="19"/>
        <v/>
      </c>
      <c r="AI45" s="1859"/>
      <c r="AJ45" s="1861"/>
      <c r="AK45" s="1861"/>
      <c r="AL45" s="1863"/>
      <c r="AM45" s="1855"/>
      <c r="AN45" s="1857"/>
      <c r="AO45" s="1857"/>
      <c r="AP45" s="1857"/>
      <c r="AQ45" s="1857"/>
      <c r="AR45" s="1865"/>
      <c r="AT45" s="1210" t="s">
        <v>388</v>
      </c>
      <c r="AU45" s="1221" t="str">
        <f>IF(OR(AU42&gt;0,AU43&gt;0,AU44&gt;0),1,"")</f>
        <v/>
      </c>
      <c r="AV45" s="1222" t="str">
        <f>IF(OR(AV42&gt;0,AV43&gt;0,AV44&gt;0),1,"")</f>
        <v/>
      </c>
      <c r="AW45" s="1222" t="str">
        <f t="shared" ref="AW45:BD45" si="20">IF(OR(AW42&gt;0,AW43&gt;0,AW44&gt;0),1,"")</f>
        <v/>
      </c>
      <c r="AX45" s="1222" t="str">
        <f t="shared" si="20"/>
        <v/>
      </c>
      <c r="AY45" s="1222" t="str">
        <f t="shared" si="20"/>
        <v/>
      </c>
      <c r="AZ45" s="1222" t="str">
        <f t="shared" si="20"/>
        <v/>
      </c>
      <c r="BA45" s="1222" t="str">
        <f t="shared" si="20"/>
        <v/>
      </c>
      <c r="BB45" s="1222" t="str">
        <f t="shared" si="20"/>
        <v/>
      </c>
      <c r="BC45" s="1222" t="str">
        <f t="shared" si="20"/>
        <v/>
      </c>
      <c r="BD45" s="1222" t="str">
        <f t="shared" si="20"/>
        <v/>
      </c>
      <c r="BE45" s="1859"/>
      <c r="BF45" s="1861"/>
      <c r="BG45" s="1861"/>
      <c r="BH45" s="1863"/>
      <c r="BI45" s="1855"/>
      <c r="BJ45" s="1857"/>
      <c r="BK45" s="1857"/>
      <c r="BL45" s="1857"/>
      <c r="BM45" s="1857"/>
      <c r="BN45" s="1865"/>
    </row>
    <row r="46" spans="2:66" ht="15" customHeight="1" thickTop="1">
      <c r="B46" s="1194" t="s">
        <v>387</v>
      </c>
      <c r="C46" s="1195"/>
      <c r="D46" s="1196"/>
      <c r="E46" s="1196"/>
      <c r="F46" s="1196"/>
      <c r="G46" s="1196"/>
      <c r="H46" s="1196"/>
      <c r="I46" s="1196"/>
      <c r="J46" s="1196"/>
      <c r="K46" s="1196"/>
      <c r="L46" s="1197"/>
      <c r="M46" s="1858">
        <f>SUM(C46:L46)</f>
        <v>0</v>
      </c>
      <c r="N46" s="1860">
        <f>SUM(C47:L47)</f>
        <v>0</v>
      </c>
      <c r="O46" s="1860">
        <f>SUM(C48:L48)</f>
        <v>0</v>
      </c>
      <c r="P46" s="1862">
        <f>SUM(C49:L49)</f>
        <v>0</v>
      </c>
      <c r="Q46" s="1854">
        <f>IF(G33="","",SUM(N46:P50))</f>
        <v>0</v>
      </c>
      <c r="R46" s="1856"/>
      <c r="S46" s="1856"/>
      <c r="T46" s="1856"/>
      <c r="U46" s="1856"/>
      <c r="V46" s="1864" t="s">
        <v>395</v>
      </c>
      <c r="X46" s="1194" t="s">
        <v>387</v>
      </c>
      <c r="Y46" s="1195"/>
      <c r="Z46" s="1196"/>
      <c r="AA46" s="1196"/>
      <c r="AB46" s="1196"/>
      <c r="AC46" s="1196"/>
      <c r="AD46" s="1196"/>
      <c r="AE46" s="1196"/>
      <c r="AF46" s="1196"/>
      <c r="AG46" s="1196"/>
      <c r="AH46" s="1197"/>
      <c r="AI46" s="1858">
        <f>SUM(Y46:AH46)</f>
        <v>0</v>
      </c>
      <c r="AJ46" s="1860">
        <f>SUM(Y47:AH47)</f>
        <v>0</v>
      </c>
      <c r="AK46" s="1860">
        <f>SUM(Y48:AH48)</f>
        <v>0</v>
      </c>
      <c r="AL46" s="1862">
        <f>SUM(Y49:AH49)</f>
        <v>0</v>
      </c>
      <c r="AM46" s="1854">
        <f>IF(AC33="","",SUM(AJ46:AL50))</f>
        <v>0</v>
      </c>
      <c r="AN46" s="1856"/>
      <c r="AO46" s="1856"/>
      <c r="AP46" s="1856"/>
      <c r="AQ46" s="1856"/>
      <c r="AR46" s="1864" t="s">
        <v>395</v>
      </c>
      <c r="AT46" s="1194" t="s">
        <v>387</v>
      </c>
      <c r="AU46" s="1195"/>
      <c r="AV46" s="1196"/>
      <c r="AW46" s="1196"/>
      <c r="AX46" s="1196"/>
      <c r="AY46" s="1196"/>
      <c r="AZ46" s="1196"/>
      <c r="BA46" s="1196"/>
      <c r="BB46" s="1196"/>
      <c r="BC46" s="1196"/>
      <c r="BD46" s="1197"/>
      <c r="BE46" s="1858">
        <f>SUM(AU46:BD46)</f>
        <v>0</v>
      </c>
      <c r="BF46" s="1860">
        <f>SUM(AU47:BD47)</f>
        <v>0</v>
      </c>
      <c r="BG46" s="1860">
        <f>SUM(AU48:BD48)</f>
        <v>0</v>
      </c>
      <c r="BH46" s="1862">
        <f>SUM(AU49:BD49)</f>
        <v>0</v>
      </c>
      <c r="BI46" s="1854">
        <f>IF(AY33="","",SUM(BF46:BH50))</f>
        <v>0</v>
      </c>
      <c r="BJ46" s="1856"/>
      <c r="BK46" s="1856"/>
      <c r="BL46" s="1856"/>
      <c r="BM46" s="1856"/>
      <c r="BN46" s="1864" t="s">
        <v>395</v>
      </c>
    </row>
    <row r="47" spans="2:66" ht="13.5">
      <c r="B47" s="1198" t="s">
        <v>383</v>
      </c>
      <c r="C47" s="1199"/>
      <c r="D47" s="1200"/>
      <c r="E47" s="1200"/>
      <c r="F47" s="1200"/>
      <c r="G47" s="1200"/>
      <c r="H47" s="1200"/>
      <c r="I47" s="1200"/>
      <c r="J47" s="1200"/>
      <c r="K47" s="1200"/>
      <c r="L47" s="1201"/>
      <c r="M47" s="1843"/>
      <c r="N47" s="1846"/>
      <c r="O47" s="1846"/>
      <c r="P47" s="1849"/>
      <c r="Q47" s="1852"/>
      <c r="R47" s="1840"/>
      <c r="S47" s="1840"/>
      <c r="T47" s="1840"/>
      <c r="U47" s="1840"/>
      <c r="V47" s="1837"/>
      <c r="X47" s="1198" t="s">
        <v>383</v>
      </c>
      <c r="Y47" s="1199"/>
      <c r="Z47" s="1200"/>
      <c r="AA47" s="1200"/>
      <c r="AB47" s="1200"/>
      <c r="AC47" s="1200"/>
      <c r="AD47" s="1200"/>
      <c r="AE47" s="1200"/>
      <c r="AF47" s="1200"/>
      <c r="AG47" s="1200"/>
      <c r="AH47" s="1201"/>
      <c r="AI47" s="1843"/>
      <c r="AJ47" s="1846"/>
      <c r="AK47" s="1846"/>
      <c r="AL47" s="1849"/>
      <c r="AM47" s="1852"/>
      <c r="AN47" s="1840"/>
      <c r="AO47" s="1840"/>
      <c r="AP47" s="1840"/>
      <c r="AQ47" s="1840"/>
      <c r="AR47" s="1837"/>
      <c r="AT47" s="1198" t="s">
        <v>383</v>
      </c>
      <c r="AU47" s="1199"/>
      <c r="AV47" s="1200"/>
      <c r="AW47" s="1200"/>
      <c r="AX47" s="1200"/>
      <c r="AY47" s="1200"/>
      <c r="AZ47" s="1200"/>
      <c r="BA47" s="1200"/>
      <c r="BB47" s="1200"/>
      <c r="BC47" s="1200"/>
      <c r="BD47" s="1201"/>
      <c r="BE47" s="1843"/>
      <c r="BF47" s="1846"/>
      <c r="BG47" s="1846"/>
      <c r="BH47" s="1849"/>
      <c r="BI47" s="1852"/>
      <c r="BJ47" s="1840"/>
      <c r="BK47" s="1840"/>
      <c r="BL47" s="1840"/>
      <c r="BM47" s="1840"/>
      <c r="BN47" s="1837"/>
    </row>
    <row r="48" spans="2:66" ht="13.5">
      <c r="B48" s="1202" t="s">
        <v>384</v>
      </c>
      <c r="C48" s="1203"/>
      <c r="D48" s="1204"/>
      <c r="E48" s="1204"/>
      <c r="F48" s="1204"/>
      <c r="G48" s="1204"/>
      <c r="H48" s="1204"/>
      <c r="I48" s="1204"/>
      <c r="J48" s="1204"/>
      <c r="K48" s="1204"/>
      <c r="L48" s="1205"/>
      <c r="M48" s="1843"/>
      <c r="N48" s="1846"/>
      <c r="O48" s="1846"/>
      <c r="P48" s="1849"/>
      <c r="Q48" s="1852"/>
      <c r="R48" s="1840"/>
      <c r="S48" s="1840"/>
      <c r="T48" s="1840"/>
      <c r="U48" s="1840"/>
      <c r="V48" s="1837"/>
      <c r="X48" s="1202" t="s">
        <v>384</v>
      </c>
      <c r="Y48" s="1203"/>
      <c r="Z48" s="1204"/>
      <c r="AA48" s="1204"/>
      <c r="AB48" s="1204"/>
      <c r="AC48" s="1204"/>
      <c r="AD48" s="1204"/>
      <c r="AE48" s="1204"/>
      <c r="AF48" s="1204"/>
      <c r="AG48" s="1204"/>
      <c r="AH48" s="1205"/>
      <c r="AI48" s="1843"/>
      <c r="AJ48" s="1846"/>
      <c r="AK48" s="1846"/>
      <c r="AL48" s="1849"/>
      <c r="AM48" s="1852"/>
      <c r="AN48" s="1840"/>
      <c r="AO48" s="1840"/>
      <c r="AP48" s="1840"/>
      <c r="AQ48" s="1840"/>
      <c r="AR48" s="1837"/>
      <c r="AT48" s="1202" t="s">
        <v>384</v>
      </c>
      <c r="AU48" s="1203"/>
      <c r="AV48" s="1204"/>
      <c r="AW48" s="1204"/>
      <c r="AX48" s="1204"/>
      <c r="AY48" s="1204"/>
      <c r="AZ48" s="1204"/>
      <c r="BA48" s="1204"/>
      <c r="BB48" s="1204"/>
      <c r="BC48" s="1204"/>
      <c r="BD48" s="1205"/>
      <c r="BE48" s="1843"/>
      <c r="BF48" s="1846"/>
      <c r="BG48" s="1846"/>
      <c r="BH48" s="1849"/>
      <c r="BI48" s="1852"/>
      <c r="BJ48" s="1840"/>
      <c r="BK48" s="1840"/>
      <c r="BL48" s="1840"/>
      <c r="BM48" s="1840"/>
      <c r="BN48" s="1837"/>
    </row>
    <row r="49" spans="2:66" ht="13.5">
      <c r="B49" s="1206" t="s">
        <v>385</v>
      </c>
      <c r="C49" s="1207"/>
      <c r="D49" s="1208"/>
      <c r="E49" s="1208"/>
      <c r="F49" s="1208"/>
      <c r="G49" s="1208"/>
      <c r="H49" s="1208"/>
      <c r="I49" s="1208"/>
      <c r="J49" s="1208"/>
      <c r="K49" s="1208"/>
      <c r="L49" s="1209"/>
      <c r="M49" s="1843"/>
      <c r="N49" s="1846"/>
      <c r="O49" s="1846"/>
      <c r="P49" s="1849"/>
      <c r="Q49" s="1852"/>
      <c r="R49" s="1840"/>
      <c r="S49" s="1840"/>
      <c r="T49" s="1840"/>
      <c r="U49" s="1840"/>
      <c r="V49" s="1837"/>
      <c r="X49" s="1206" t="s">
        <v>385</v>
      </c>
      <c r="Y49" s="1207"/>
      <c r="Z49" s="1208"/>
      <c r="AA49" s="1208"/>
      <c r="AB49" s="1208"/>
      <c r="AC49" s="1208"/>
      <c r="AD49" s="1208"/>
      <c r="AE49" s="1208"/>
      <c r="AF49" s="1208"/>
      <c r="AG49" s="1208"/>
      <c r="AH49" s="1209"/>
      <c r="AI49" s="1843"/>
      <c r="AJ49" s="1846"/>
      <c r="AK49" s="1846"/>
      <c r="AL49" s="1849"/>
      <c r="AM49" s="1852"/>
      <c r="AN49" s="1840"/>
      <c r="AO49" s="1840"/>
      <c r="AP49" s="1840"/>
      <c r="AQ49" s="1840"/>
      <c r="AR49" s="1837"/>
      <c r="AT49" s="1206" t="s">
        <v>385</v>
      </c>
      <c r="AU49" s="1207"/>
      <c r="AV49" s="1208"/>
      <c r="AW49" s="1208"/>
      <c r="AX49" s="1208"/>
      <c r="AY49" s="1208"/>
      <c r="AZ49" s="1208"/>
      <c r="BA49" s="1208"/>
      <c r="BB49" s="1208"/>
      <c r="BC49" s="1208"/>
      <c r="BD49" s="1209"/>
      <c r="BE49" s="1843"/>
      <c r="BF49" s="1846"/>
      <c r="BG49" s="1846"/>
      <c r="BH49" s="1849"/>
      <c r="BI49" s="1852"/>
      <c r="BJ49" s="1840"/>
      <c r="BK49" s="1840"/>
      <c r="BL49" s="1840"/>
      <c r="BM49" s="1840"/>
      <c r="BN49" s="1837"/>
    </row>
    <row r="50" spans="2:66" ht="14" thickBot="1">
      <c r="B50" s="1210" t="s">
        <v>388</v>
      </c>
      <c r="C50" s="1221" t="str">
        <f>IF(OR(C47&gt;0,C48&gt;0,C49&gt;0),1,"")</f>
        <v/>
      </c>
      <c r="D50" s="1222" t="str">
        <f>IF(OR(D47&gt;0,D48&gt;0,D49&gt;0),1,"")</f>
        <v/>
      </c>
      <c r="E50" s="1222" t="str">
        <f t="shared" ref="E50:L50" si="21">IF(OR(E47&gt;0,E48&gt;0,E49&gt;0),1,"")</f>
        <v/>
      </c>
      <c r="F50" s="1222" t="str">
        <f t="shared" si="21"/>
        <v/>
      </c>
      <c r="G50" s="1222" t="str">
        <f t="shared" si="21"/>
        <v/>
      </c>
      <c r="H50" s="1222" t="str">
        <f t="shared" si="21"/>
        <v/>
      </c>
      <c r="I50" s="1222" t="str">
        <f t="shared" si="21"/>
        <v/>
      </c>
      <c r="J50" s="1222" t="str">
        <f t="shared" si="21"/>
        <v/>
      </c>
      <c r="K50" s="1222" t="str">
        <f t="shared" si="21"/>
        <v/>
      </c>
      <c r="L50" s="1222" t="str">
        <f t="shared" si="21"/>
        <v/>
      </c>
      <c r="M50" s="1859"/>
      <c r="N50" s="1861"/>
      <c r="O50" s="1861"/>
      <c r="P50" s="1863"/>
      <c r="Q50" s="1855"/>
      <c r="R50" s="1857"/>
      <c r="S50" s="1857"/>
      <c r="T50" s="1857"/>
      <c r="U50" s="1857"/>
      <c r="V50" s="1865"/>
      <c r="X50" s="1210" t="s">
        <v>388</v>
      </c>
      <c r="Y50" s="1221" t="str">
        <f>IF(OR(Y47&gt;0,Y48&gt;0,Y49&gt;0),1,"")</f>
        <v/>
      </c>
      <c r="Z50" s="1222" t="str">
        <f>IF(OR(Z47&gt;0,Z48&gt;0,Z49&gt;0),1,"")</f>
        <v/>
      </c>
      <c r="AA50" s="1222" t="str">
        <f t="shared" ref="AA50:AH50" si="22">IF(OR(AA47&gt;0,AA48&gt;0,AA49&gt;0),1,"")</f>
        <v/>
      </c>
      <c r="AB50" s="1222" t="str">
        <f t="shared" si="22"/>
        <v/>
      </c>
      <c r="AC50" s="1222" t="str">
        <f t="shared" si="22"/>
        <v/>
      </c>
      <c r="AD50" s="1222" t="str">
        <f t="shared" si="22"/>
        <v/>
      </c>
      <c r="AE50" s="1222" t="str">
        <f t="shared" si="22"/>
        <v/>
      </c>
      <c r="AF50" s="1222" t="str">
        <f t="shared" si="22"/>
        <v/>
      </c>
      <c r="AG50" s="1222" t="str">
        <f t="shared" si="22"/>
        <v/>
      </c>
      <c r="AH50" s="1222" t="str">
        <f t="shared" si="22"/>
        <v/>
      </c>
      <c r="AI50" s="1859"/>
      <c r="AJ50" s="1861"/>
      <c r="AK50" s="1861"/>
      <c r="AL50" s="1863"/>
      <c r="AM50" s="1855"/>
      <c r="AN50" s="1857"/>
      <c r="AO50" s="1857"/>
      <c r="AP50" s="1857"/>
      <c r="AQ50" s="1857"/>
      <c r="AR50" s="1865"/>
      <c r="AT50" s="1210" t="s">
        <v>388</v>
      </c>
      <c r="AU50" s="1221" t="str">
        <f>IF(OR(AU47&gt;0,AU48&gt;0,AU49&gt;0),1,"")</f>
        <v/>
      </c>
      <c r="AV50" s="1222" t="str">
        <f>IF(OR(AV47&gt;0,AV48&gt;0,AV49&gt;0),1,"")</f>
        <v/>
      </c>
      <c r="AW50" s="1222" t="str">
        <f t="shared" ref="AW50:BD50" si="23">IF(OR(AW47&gt;0,AW48&gt;0,AW49&gt;0),1,"")</f>
        <v/>
      </c>
      <c r="AX50" s="1222" t="str">
        <f t="shared" si="23"/>
        <v/>
      </c>
      <c r="AY50" s="1222" t="str">
        <f t="shared" si="23"/>
        <v/>
      </c>
      <c r="AZ50" s="1222" t="str">
        <f t="shared" si="23"/>
        <v/>
      </c>
      <c r="BA50" s="1222" t="str">
        <f t="shared" si="23"/>
        <v/>
      </c>
      <c r="BB50" s="1222" t="str">
        <f t="shared" si="23"/>
        <v/>
      </c>
      <c r="BC50" s="1222" t="str">
        <f t="shared" si="23"/>
        <v/>
      </c>
      <c r="BD50" s="1222" t="str">
        <f t="shared" si="23"/>
        <v/>
      </c>
      <c r="BE50" s="1859"/>
      <c r="BF50" s="1861"/>
      <c r="BG50" s="1861"/>
      <c r="BH50" s="1863"/>
      <c r="BI50" s="1855"/>
      <c r="BJ50" s="1857"/>
      <c r="BK50" s="1857"/>
      <c r="BL50" s="1857"/>
      <c r="BM50" s="1857"/>
      <c r="BN50" s="1865"/>
    </row>
    <row r="51" spans="2:66" ht="15" customHeight="1" thickTop="1">
      <c r="B51" s="1194" t="s">
        <v>387</v>
      </c>
      <c r="C51" s="1195"/>
      <c r="D51" s="1196"/>
      <c r="E51" s="1196"/>
      <c r="F51" s="1196"/>
      <c r="G51" s="1196"/>
      <c r="H51" s="1196"/>
      <c r="I51" s="1196"/>
      <c r="J51" s="1196"/>
      <c r="K51" s="1196"/>
      <c r="L51" s="1197"/>
      <c r="M51" s="1858">
        <f>SUM(C51:L51)</f>
        <v>0</v>
      </c>
      <c r="N51" s="1860">
        <f>SUM(C52:L52)</f>
        <v>0</v>
      </c>
      <c r="O51" s="1860">
        <f>SUM(C53:L53)</f>
        <v>0</v>
      </c>
      <c r="P51" s="1862">
        <f>SUM(C54:L54)</f>
        <v>0</v>
      </c>
      <c r="Q51" s="1854">
        <f>IF(G33="","",SUM(N51:P55))</f>
        <v>0</v>
      </c>
      <c r="R51" s="1856"/>
      <c r="S51" s="1856"/>
      <c r="T51" s="1856"/>
      <c r="U51" s="1856"/>
      <c r="V51" s="1864" t="s">
        <v>395</v>
      </c>
      <c r="X51" s="1194" t="s">
        <v>387</v>
      </c>
      <c r="Y51" s="1195"/>
      <c r="Z51" s="1196"/>
      <c r="AA51" s="1196"/>
      <c r="AB51" s="1196"/>
      <c r="AC51" s="1196"/>
      <c r="AD51" s="1196"/>
      <c r="AE51" s="1196"/>
      <c r="AF51" s="1196"/>
      <c r="AG51" s="1196"/>
      <c r="AH51" s="1197"/>
      <c r="AI51" s="1858">
        <f>SUM(Y51:AH51)</f>
        <v>0</v>
      </c>
      <c r="AJ51" s="1860">
        <f>SUM(Y52:AH52)</f>
        <v>0</v>
      </c>
      <c r="AK51" s="1860">
        <f>SUM(Y53:AH53)</f>
        <v>0</v>
      </c>
      <c r="AL51" s="1862">
        <f>SUM(Y54:AH54)</f>
        <v>0</v>
      </c>
      <c r="AM51" s="1854">
        <f>IF(AC33="","",SUM(AJ51:AL55))</f>
        <v>0</v>
      </c>
      <c r="AN51" s="1856"/>
      <c r="AO51" s="1856"/>
      <c r="AP51" s="1856"/>
      <c r="AQ51" s="1856"/>
      <c r="AR51" s="1864" t="s">
        <v>395</v>
      </c>
      <c r="AT51" s="1194" t="s">
        <v>387</v>
      </c>
      <c r="AU51" s="1195"/>
      <c r="AV51" s="1196"/>
      <c r="AW51" s="1196"/>
      <c r="AX51" s="1196"/>
      <c r="AY51" s="1196"/>
      <c r="AZ51" s="1196"/>
      <c r="BA51" s="1196"/>
      <c r="BB51" s="1196"/>
      <c r="BC51" s="1196"/>
      <c r="BD51" s="1197"/>
      <c r="BE51" s="1858">
        <f>SUM(AU51:BD51)</f>
        <v>0</v>
      </c>
      <c r="BF51" s="1860">
        <f>SUM(AU52:BD52)</f>
        <v>0</v>
      </c>
      <c r="BG51" s="1860">
        <f>SUM(AU53:BD53)</f>
        <v>0</v>
      </c>
      <c r="BH51" s="1862">
        <f>SUM(AU54:BD54)</f>
        <v>0</v>
      </c>
      <c r="BI51" s="1854">
        <f>IF(AY33="","",SUM(BF51:BH55))</f>
        <v>0</v>
      </c>
      <c r="BJ51" s="1856"/>
      <c r="BK51" s="1856"/>
      <c r="BL51" s="1856"/>
      <c r="BM51" s="1856"/>
      <c r="BN51" s="1864" t="s">
        <v>395</v>
      </c>
    </row>
    <row r="52" spans="2:66" ht="13.5">
      <c r="B52" s="1198" t="s">
        <v>383</v>
      </c>
      <c r="C52" s="1199"/>
      <c r="D52" s="1200"/>
      <c r="E52" s="1200"/>
      <c r="F52" s="1200"/>
      <c r="G52" s="1200"/>
      <c r="H52" s="1200"/>
      <c r="I52" s="1200"/>
      <c r="J52" s="1200"/>
      <c r="K52" s="1200"/>
      <c r="L52" s="1201"/>
      <c r="M52" s="1843"/>
      <c r="N52" s="1846"/>
      <c r="O52" s="1846"/>
      <c r="P52" s="1849"/>
      <c r="Q52" s="1852"/>
      <c r="R52" s="1840"/>
      <c r="S52" s="1840"/>
      <c r="T52" s="1840"/>
      <c r="U52" s="1840"/>
      <c r="V52" s="1837"/>
      <c r="X52" s="1198" t="s">
        <v>383</v>
      </c>
      <c r="Y52" s="1199"/>
      <c r="Z52" s="1200"/>
      <c r="AA52" s="1200"/>
      <c r="AB52" s="1200"/>
      <c r="AC52" s="1200"/>
      <c r="AD52" s="1200"/>
      <c r="AE52" s="1200"/>
      <c r="AF52" s="1200"/>
      <c r="AG52" s="1200"/>
      <c r="AH52" s="1201"/>
      <c r="AI52" s="1843"/>
      <c r="AJ52" s="1846"/>
      <c r="AK52" s="1846"/>
      <c r="AL52" s="1849"/>
      <c r="AM52" s="1852"/>
      <c r="AN52" s="1840"/>
      <c r="AO52" s="1840"/>
      <c r="AP52" s="1840"/>
      <c r="AQ52" s="1840"/>
      <c r="AR52" s="1837"/>
      <c r="AT52" s="1198" t="s">
        <v>383</v>
      </c>
      <c r="AU52" s="1199"/>
      <c r="AV52" s="1200"/>
      <c r="AW52" s="1200"/>
      <c r="AX52" s="1200"/>
      <c r="AY52" s="1200"/>
      <c r="AZ52" s="1200"/>
      <c r="BA52" s="1200"/>
      <c r="BB52" s="1200"/>
      <c r="BC52" s="1200"/>
      <c r="BD52" s="1201"/>
      <c r="BE52" s="1843"/>
      <c r="BF52" s="1846"/>
      <c r="BG52" s="1846"/>
      <c r="BH52" s="1849"/>
      <c r="BI52" s="1852"/>
      <c r="BJ52" s="1840"/>
      <c r="BK52" s="1840"/>
      <c r="BL52" s="1840"/>
      <c r="BM52" s="1840"/>
      <c r="BN52" s="1837"/>
    </row>
    <row r="53" spans="2:66" ht="13.5">
      <c r="B53" s="1202" t="s">
        <v>384</v>
      </c>
      <c r="C53" s="1203"/>
      <c r="D53" s="1204"/>
      <c r="E53" s="1204"/>
      <c r="F53" s="1204"/>
      <c r="G53" s="1204"/>
      <c r="H53" s="1204"/>
      <c r="I53" s="1204"/>
      <c r="J53" s="1204"/>
      <c r="K53" s="1204"/>
      <c r="L53" s="1205"/>
      <c r="M53" s="1843"/>
      <c r="N53" s="1846"/>
      <c r="O53" s="1846"/>
      <c r="P53" s="1849"/>
      <c r="Q53" s="1852"/>
      <c r="R53" s="1840"/>
      <c r="S53" s="1840"/>
      <c r="T53" s="1840"/>
      <c r="U53" s="1840"/>
      <c r="V53" s="1837"/>
      <c r="X53" s="1202" t="s">
        <v>384</v>
      </c>
      <c r="Y53" s="1203"/>
      <c r="Z53" s="1204"/>
      <c r="AA53" s="1204"/>
      <c r="AB53" s="1204"/>
      <c r="AC53" s="1204"/>
      <c r="AD53" s="1204"/>
      <c r="AE53" s="1204"/>
      <c r="AF53" s="1204"/>
      <c r="AG53" s="1204"/>
      <c r="AH53" s="1205"/>
      <c r="AI53" s="1843"/>
      <c r="AJ53" s="1846"/>
      <c r="AK53" s="1846"/>
      <c r="AL53" s="1849"/>
      <c r="AM53" s="1852"/>
      <c r="AN53" s="1840"/>
      <c r="AO53" s="1840"/>
      <c r="AP53" s="1840"/>
      <c r="AQ53" s="1840"/>
      <c r="AR53" s="1837"/>
      <c r="AT53" s="1202" t="s">
        <v>384</v>
      </c>
      <c r="AU53" s="1203"/>
      <c r="AV53" s="1204"/>
      <c r="AW53" s="1204"/>
      <c r="AX53" s="1204"/>
      <c r="AY53" s="1204"/>
      <c r="AZ53" s="1204"/>
      <c r="BA53" s="1204"/>
      <c r="BB53" s="1204"/>
      <c r="BC53" s="1204"/>
      <c r="BD53" s="1205"/>
      <c r="BE53" s="1843"/>
      <c r="BF53" s="1846"/>
      <c r="BG53" s="1846"/>
      <c r="BH53" s="1849"/>
      <c r="BI53" s="1852"/>
      <c r="BJ53" s="1840"/>
      <c r="BK53" s="1840"/>
      <c r="BL53" s="1840"/>
      <c r="BM53" s="1840"/>
      <c r="BN53" s="1837"/>
    </row>
    <row r="54" spans="2:66" ht="13.5">
      <c r="B54" s="1206" t="s">
        <v>385</v>
      </c>
      <c r="C54" s="1207"/>
      <c r="D54" s="1208"/>
      <c r="E54" s="1208"/>
      <c r="F54" s="1208"/>
      <c r="G54" s="1208"/>
      <c r="H54" s="1208"/>
      <c r="I54" s="1208"/>
      <c r="J54" s="1208"/>
      <c r="K54" s="1208"/>
      <c r="L54" s="1209"/>
      <c r="M54" s="1843"/>
      <c r="N54" s="1846"/>
      <c r="O54" s="1846"/>
      <c r="P54" s="1849"/>
      <c r="Q54" s="1852"/>
      <c r="R54" s="1840"/>
      <c r="S54" s="1840"/>
      <c r="T54" s="1840"/>
      <c r="U54" s="1840"/>
      <c r="V54" s="1837"/>
      <c r="X54" s="1206" t="s">
        <v>385</v>
      </c>
      <c r="Y54" s="1207"/>
      <c r="Z54" s="1208"/>
      <c r="AA54" s="1208"/>
      <c r="AB54" s="1208"/>
      <c r="AC54" s="1208"/>
      <c r="AD54" s="1208"/>
      <c r="AE54" s="1208"/>
      <c r="AF54" s="1208"/>
      <c r="AG54" s="1208"/>
      <c r="AH54" s="1209"/>
      <c r="AI54" s="1843"/>
      <c r="AJ54" s="1846"/>
      <c r="AK54" s="1846"/>
      <c r="AL54" s="1849"/>
      <c r="AM54" s="1852"/>
      <c r="AN54" s="1840"/>
      <c r="AO54" s="1840"/>
      <c r="AP54" s="1840"/>
      <c r="AQ54" s="1840"/>
      <c r="AR54" s="1837"/>
      <c r="AT54" s="1206" t="s">
        <v>385</v>
      </c>
      <c r="AU54" s="1207"/>
      <c r="AV54" s="1208"/>
      <c r="AW54" s="1208"/>
      <c r="AX54" s="1208"/>
      <c r="AY54" s="1208"/>
      <c r="AZ54" s="1208"/>
      <c r="BA54" s="1208"/>
      <c r="BB54" s="1208"/>
      <c r="BC54" s="1208"/>
      <c r="BD54" s="1209"/>
      <c r="BE54" s="1843"/>
      <c r="BF54" s="1846"/>
      <c r="BG54" s="1846"/>
      <c r="BH54" s="1849"/>
      <c r="BI54" s="1852"/>
      <c r="BJ54" s="1840"/>
      <c r="BK54" s="1840"/>
      <c r="BL54" s="1840"/>
      <c r="BM54" s="1840"/>
      <c r="BN54" s="1837"/>
    </row>
    <row r="55" spans="2:66" ht="14" thickBot="1">
      <c r="B55" s="1210" t="s">
        <v>388</v>
      </c>
      <c r="C55" s="1221" t="str">
        <f>IF(OR(C52&gt;0,C53&gt;0,C54&gt;0),1,"")</f>
        <v/>
      </c>
      <c r="D55" s="1222" t="str">
        <f>IF(OR(D52&gt;0,D53&gt;0,D54&gt;0),1,"")</f>
        <v/>
      </c>
      <c r="E55" s="1222" t="str">
        <f t="shared" ref="E55:L55" si="24">IF(OR(E52&gt;0,E53&gt;0,E54&gt;0),1,"")</f>
        <v/>
      </c>
      <c r="F55" s="1222" t="str">
        <f t="shared" si="24"/>
        <v/>
      </c>
      <c r="G55" s="1222" t="str">
        <f t="shared" si="24"/>
        <v/>
      </c>
      <c r="H55" s="1222" t="str">
        <f t="shared" si="24"/>
        <v/>
      </c>
      <c r="I55" s="1222" t="str">
        <f t="shared" si="24"/>
        <v/>
      </c>
      <c r="J55" s="1222" t="str">
        <f t="shared" si="24"/>
        <v/>
      </c>
      <c r="K55" s="1222" t="str">
        <f t="shared" si="24"/>
        <v/>
      </c>
      <c r="L55" s="1222" t="str">
        <f t="shared" si="24"/>
        <v/>
      </c>
      <c r="M55" s="1859"/>
      <c r="N55" s="1861"/>
      <c r="O55" s="1861"/>
      <c r="P55" s="1863"/>
      <c r="Q55" s="1855"/>
      <c r="R55" s="1857"/>
      <c r="S55" s="1857"/>
      <c r="T55" s="1857"/>
      <c r="U55" s="1857"/>
      <c r="V55" s="1865"/>
      <c r="X55" s="1210" t="s">
        <v>388</v>
      </c>
      <c r="Y55" s="1221" t="str">
        <f>IF(OR(Y52&gt;0,Y53&gt;0,Y54&gt;0),1,"")</f>
        <v/>
      </c>
      <c r="Z55" s="1222" t="str">
        <f>IF(OR(Z52&gt;0,Z53&gt;0,Z54&gt;0),1,"")</f>
        <v/>
      </c>
      <c r="AA55" s="1222" t="str">
        <f t="shared" ref="AA55:AH55" si="25">IF(OR(AA52&gt;0,AA53&gt;0,AA54&gt;0),1,"")</f>
        <v/>
      </c>
      <c r="AB55" s="1222" t="str">
        <f t="shared" si="25"/>
        <v/>
      </c>
      <c r="AC55" s="1222" t="str">
        <f t="shared" si="25"/>
        <v/>
      </c>
      <c r="AD55" s="1222" t="str">
        <f t="shared" si="25"/>
        <v/>
      </c>
      <c r="AE55" s="1222" t="str">
        <f t="shared" si="25"/>
        <v/>
      </c>
      <c r="AF55" s="1222" t="str">
        <f t="shared" si="25"/>
        <v/>
      </c>
      <c r="AG55" s="1222" t="str">
        <f t="shared" si="25"/>
        <v/>
      </c>
      <c r="AH55" s="1222" t="str">
        <f t="shared" si="25"/>
        <v/>
      </c>
      <c r="AI55" s="1859"/>
      <c r="AJ55" s="1861"/>
      <c r="AK55" s="1861"/>
      <c r="AL55" s="1863"/>
      <c r="AM55" s="1855"/>
      <c r="AN55" s="1857"/>
      <c r="AO55" s="1857"/>
      <c r="AP55" s="1857"/>
      <c r="AQ55" s="1857"/>
      <c r="AR55" s="1865"/>
      <c r="AT55" s="1210" t="s">
        <v>388</v>
      </c>
      <c r="AU55" s="1221" t="str">
        <f>IF(OR(AU52&gt;0,AU53&gt;0,AU54&gt;0),1,"")</f>
        <v/>
      </c>
      <c r="AV55" s="1222" t="str">
        <f>IF(OR(AV52&gt;0,AV53&gt;0,AV54&gt;0),1,"")</f>
        <v/>
      </c>
      <c r="AW55" s="1222" t="str">
        <f t="shared" ref="AW55:BD55" si="26">IF(OR(AW52&gt;0,AW53&gt;0,AW54&gt;0),1,"")</f>
        <v/>
      </c>
      <c r="AX55" s="1222" t="str">
        <f t="shared" si="26"/>
        <v/>
      </c>
      <c r="AY55" s="1222" t="str">
        <f t="shared" si="26"/>
        <v/>
      </c>
      <c r="AZ55" s="1222" t="str">
        <f t="shared" si="26"/>
        <v/>
      </c>
      <c r="BA55" s="1222" t="str">
        <f t="shared" si="26"/>
        <v/>
      </c>
      <c r="BB55" s="1222" t="str">
        <f t="shared" si="26"/>
        <v/>
      </c>
      <c r="BC55" s="1222" t="str">
        <f t="shared" si="26"/>
        <v/>
      </c>
      <c r="BD55" s="1222" t="str">
        <f t="shared" si="26"/>
        <v/>
      </c>
      <c r="BE55" s="1859"/>
      <c r="BF55" s="1861"/>
      <c r="BG55" s="1861"/>
      <c r="BH55" s="1863"/>
      <c r="BI55" s="1855"/>
      <c r="BJ55" s="1857"/>
      <c r="BK55" s="1857"/>
      <c r="BL55" s="1857"/>
      <c r="BM55" s="1857"/>
      <c r="BN55" s="1865"/>
    </row>
    <row r="56" spans="2:66" ht="15" customHeight="1" thickTop="1">
      <c r="B56" s="1194" t="s">
        <v>387</v>
      </c>
      <c r="C56" s="1195"/>
      <c r="D56" s="1196"/>
      <c r="E56" s="1196"/>
      <c r="F56" s="1196"/>
      <c r="G56" s="1196"/>
      <c r="H56" s="1196"/>
      <c r="I56" s="1196"/>
      <c r="J56" s="1196"/>
      <c r="K56" s="1196"/>
      <c r="L56" s="1197"/>
      <c r="M56" s="1842">
        <f>SUM(C56:L56)</f>
        <v>0</v>
      </c>
      <c r="N56" s="1845">
        <f>SUM(C57:L57)</f>
        <v>0</v>
      </c>
      <c r="O56" s="1845">
        <f>SUM(C58:L58)</f>
        <v>0</v>
      </c>
      <c r="P56" s="1848">
        <f>SUM(C59:L59)</f>
        <v>0</v>
      </c>
      <c r="Q56" s="1851">
        <f>IF(G33="","",SUM(N56:P60))</f>
        <v>0</v>
      </c>
      <c r="R56" s="1839"/>
      <c r="S56" s="1839"/>
      <c r="T56" s="1839"/>
      <c r="U56" s="1839"/>
      <c r="V56" s="1836" t="s">
        <v>395</v>
      </c>
      <c r="X56" s="1194" t="s">
        <v>387</v>
      </c>
      <c r="Y56" s="1195"/>
      <c r="Z56" s="1196"/>
      <c r="AA56" s="1196"/>
      <c r="AB56" s="1196"/>
      <c r="AC56" s="1196"/>
      <c r="AD56" s="1196"/>
      <c r="AE56" s="1196"/>
      <c r="AF56" s="1196"/>
      <c r="AG56" s="1196"/>
      <c r="AH56" s="1197"/>
      <c r="AI56" s="1842">
        <f>SUM(Y56:AH56)</f>
        <v>0</v>
      </c>
      <c r="AJ56" s="1845">
        <f>SUM(Y57:AH57)</f>
        <v>0</v>
      </c>
      <c r="AK56" s="1845">
        <f>SUM(Y58:AH58)</f>
        <v>0</v>
      </c>
      <c r="AL56" s="1848">
        <f>SUM(Y59:AH59)</f>
        <v>0</v>
      </c>
      <c r="AM56" s="1851">
        <f>IF(AC33="","",SUM(AJ56:AL60))</f>
        <v>0</v>
      </c>
      <c r="AN56" s="1839"/>
      <c r="AO56" s="1839"/>
      <c r="AP56" s="1839"/>
      <c r="AQ56" s="1839"/>
      <c r="AR56" s="1836" t="s">
        <v>395</v>
      </c>
      <c r="AT56" s="1194" t="s">
        <v>387</v>
      </c>
      <c r="AU56" s="1195"/>
      <c r="AV56" s="1196"/>
      <c r="AW56" s="1196"/>
      <c r="AX56" s="1196"/>
      <c r="AY56" s="1196"/>
      <c r="AZ56" s="1196"/>
      <c r="BA56" s="1196"/>
      <c r="BB56" s="1196"/>
      <c r="BC56" s="1196"/>
      <c r="BD56" s="1197"/>
      <c r="BE56" s="1842">
        <f>SUM(AU56:BD56)</f>
        <v>0</v>
      </c>
      <c r="BF56" s="1845">
        <f>SUM(AU57:BD57)</f>
        <v>0</v>
      </c>
      <c r="BG56" s="1845">
        <f>SUM(AU58:BD58)</f>
        <v>0</v>
      </c>
      <c r="BH56" s="1848">
        <f>SUM(AU59:BD59)</f>
        <v>0</v>
      </c>
      <c r="BI56" s="1851">
        <f>IF(AY33="","",SUM(BF56:BH60))</f>
        <v>0</v>
      </c>
      <c r="BJ56" s="1839"/>
      <c r="BK56" s="1839"/>
      <c r="BL56" s="1839"/>
      <c r="BM56" s="1839"/>
      <c r="BN56" s="1836" t="s">
        <v>395</v>
      </c>
    </row>
    <row r="57" spans="2:66" ht="13.5">
      <c r="B57" s="1198" t="s">
        <v>383</v>
      </c>
      <c r="C57" s="1199"/>
      <c r="D57" s="1200"/>
      <c r="E57" s="1200"/>
      <c r="F57" s="1200"/>
      <c r="G57" s="1200"/>
      <c r="H57" s="1200"/>
      <c r="I57" s="1200"/>
      <c r="J57" s="1200"/>
      <c r="K57" s="1200"/>
      <c r="L57" s="1201"/>
      <c r="M57" s="1843"/>
      <c r="N57" s="1846"/>
      <c r="O57" s="1846"/>
      <c r="P57" s="1849"/>
      <c r="Q57" s="1852"/>
      <c r="R57" s="1840"/>
      <c r="S57" s="1840"/>
      <c r="T57" s="1840"/>
      <c r="U57" s="1840"/>
      <c r="V57" s="1837"/>
      <c r="X57" s="1198" t="s">
        <v>383</v>
      </c>
      <c r="Y57" s="1199"/>
      <c r="Z57" s="1200"/>
      <c r="AA57" s="1200"/>
      <c r="AB57" s="1200"/>
      <c r="AC57" s="1200"/>
      <c r="AD57" s="1200"/>
      <c r="AE57" s="1200"/>
      <c r="AF57" s="1200"/>
      <c r="AG57" s="1200"/>
      <c r="AH57" s="1201"/>
      <c r="AI57" s="1843"/>
      <c r="AJ57" s="1846"/>
      <c r="AK57" s="1846"/>
      <c r="AL57" s="1849"/>
      <c r="AM57" s="1852"/>
      <c r="AN57" s="1840"/>
      <c r="AO57" s="1840"/>
      <c r="AP57" s="1840"/>
      <c r="AQ57" s="1840"/>
      <c r="AR57" s="1837"/>
      <c r="AT57" s="1198" t="s">
        <v>383</v>
      </c>
      <c r="AU57" s="1199"/>
      <c r="AV57" s="1200"/>
      <c r="AW57" s="1200"/>
      <c r="AX57" s="1200"/>
      <c r="AY57" s="1200"/>
      <c r="AZ57" s="1200"/>
      <c r="BA57" s="1200"/>
      <c r="BB57" s="1200"/>
      <c r="BC57" s="1200"/>
      <c r="BD57" s="1201"/>
      <c r="BE57" s="1843"/>
      <c r="BF57" s="1846"/>
      <c r="BG57" s="1846"/>
      <c r="BH57" s="1849"/>
      <c r="BI57" s="1852"/>
      <c r="BJ57" s="1840"/>
      <c r="BK57" s="1840"/>
      <c r="BL57" s="1840"/>
      <c r="BM57" s="1840"/>
      <c r="BN57" s="1837"/>
    </row>
    <row r="58" spans="2:66" ht="13.5">
      <c r="B58" s="1202" t="s">
        <v>384</v>
      </c>
      <c r="C58" s="1203"/>
      <c r="D58" s="1204"/>
      <c r="E58" s="1204"/>
      <c r="F58" s="1204"/>
      <c r="G58" s="1204"/>
      <c r="H58" s="1204"/>
      <c r="I58" s="1204"/>
      <c r="J58" s="1204"/>
      <c r="K58" s="1204"/>
      <c r="L58" s="1205"/>
      <c r="M58" s="1843"/>
      <c r="N58" s="1846"/>
      <c r="O58" s="1846"/>
      <c r="P58" s="1849"/>
      <c r="Q58" s="1852"/>
      <c r="R58" s="1840"/>
      <c r="S58" s="1840"/>
      <c r="T58" s="1840"/>
      <c r="U58" s="1840"/>
      <c r="V58" s="1837"/>
      <c r="X58" s="1202" t="s">
        <v>384</v>
      </c>
      <c r="Y58" s="1203"/>
      <c r="Z58" s="1204"/>
      <c r="AA58" s="1204"/>
      <c r="AB58" s="1204"/>
      <c r="AC58" s="1204"/>
      <c r="AD58" s="1204"/>
      <c r="AE58" s="1204"/>
      <c r="AF58" s="1204"/>
      <c r="AG58" s="1204"/>
      <c r="AH58" s="1205"/>
      <c r="AI58" s="1843"/>
      <c r="AJ58" s="1846"/>
      <c r="AK58" s="1846"/>
      <c r="AL58" s="1849"/>
      <c r="AM58" s="1852"/>
      <c r="AN58" s="1840"/>
      <c r="AO58" s="1840"/>
      <c r="AP58" s="1840"/>
      <c r="AQ58" s="1840"/>
      <c r="AR58" s="1837"/>
      <c r="AT58" s="1202" t="s">
        <v>384</v>
      </c>
      <c r="AU58" s="1203"/>
      <c r="AV58" s="1204"/>
      <c r="AW58" s="1204"/>
      <c r="AX58" s="1204"/>
      <c r="AY58" s="1204"/>
      <c r="AZ58" s="1204"/>
      <c r="BA58" s="1204"/>
      <c r="BB58" s="1204"/>
      <c r="BC58" s="1204"/>
      <c r="BD58" s="1205"/>
      <c r="BE58" s="1843"/>
      <c r="BF58" s="1846"/>
      <c r="BG58" s="1846"/>
      <c r="BH58" s="1849"/>
      <c r="BI58" s="1852"/>
      <c r="BJ58" s="1840"/>
      <c r="BK58" s="1840"/>
      <c r="BL58" s="1840"/>
      <c r="BM58" s="1840"/>
      <c r="BN58" s="1837"/>
    </row>
    <row r="59" spans="2:66" ht="13.5">
      <c r="B59" s="1206" t="s">
        <v>385</v>
      </c>
      <c r="C59" s="1207"/>
      <c r="D59" s="1208"/>
      <c r="E59" s="1208"/>
      <c r="F59" s="1208"/>
      <c r="G59" s="1208"/>
      <c r="H59" s="1208"/>
      <c r="I59" s="1208"/>
      <c r="J59" s="1208"/>
      <c r="K59" s="1208"/>
      <c r="L59" s="1209"/>
      <c r="M59" s="1843"/>
      <c r="N59" s="1846"/>
      <c r="O59" s="1846"/>
      <c r="P59" s="1849"/>
      <c r="Q59" s="1852"/>
      <c r="R59" s="1840"/>
      <c r="S59" s="1840"/>
      <c r="T59" s="1840"/>
      <c r="U59" s="1840"/>
      <c r="V59" s="1837"/>
      <c r="X59" s="1206" t="s">
        <v>385</v>
      </c>
      <c r="Y59" s="1207"/>
      <c r="Z59" s="1208"/>
      <c r="AA59" s="1208"/>
      <c r="AB59" s="1208"/>
      <c r="AC59" s="1208"/>
      <c r="AD59" s="1208"/>
      <c r="AE59" s="1208"/>
      <c r="AF59" s="1208"/>
      <c r="AG59" s="1208"/>
      <c r="AH59" s="1209"/>
      <c r="AI59" s="1843"/>
      <c r="AJ59" s="1846"/>
      <c r="AK59" s="1846"/>
      <c r="AL59" s="1849"/>
      <c r="AM59" s="1852"/>
      <c r="AN59" s="1840"/>
      <c r="AO59" s="1840"/>
      <c r="AP59" s="1840"/>
      <c r="AQ59" s="1840"/>
      <c r="AR59" s="1837"/>
      <c r="AT59" s="1206" t="s">
        <v>385</v>
      </c>
      <c r="AU59" s="1207"/>
      <c r="AV59" s="1208"/>
      <c r="AW59" s="1208"/>
      <c r="AX59" s="1208"/>
      <c r="AY59" s="1208"/>
      <c r="AZ59" s="1208"/>
      <c r="BA59" s="1208"/>
      <c r="BB59" s="1208"/>
      <c r="BC59" s="1208"/>
      <c r="BD59" s="1209"/>
      <c r="BE59" s="1843"/>
      <c r="BF59" s="1846"/>
      <c r="BG59" s="1846"/>
      <c r="BH59" s="1849"/>
      <c r="BI59" s="1852"/>
      <c r="BJ59" s="1840"/>
      <c r="BK59" s="1840"/>
      <c r="BL59" s="1840"/>
      <c r="BM59" s="1840"/>
      <c r="BN59" s="1837"/>
    </row>
    <row r="60" spans="2:66" ht="13.5">
      <c r="B60" s="1215" t="s">
        <v>388</v>
      </c>
      <c r="C60" s="1223" t="str">
        <f>IF(OR(C57&gt;0,C58&gt;0,C59&gt;0),1,"")</f>
        <v/>
      </c>
      <c r="D60" s="1224" t="str">
        <f>IF(OR(D57&gt;0,D58&gt;0,D59&gt;0),1,"")</f>
        <v/>
      </c>
      <c r="E60" s="1224" t="str">
        <f t="shared" ref="E60:L60" si="27">IF(OR(E57&gt;0,E58&gt;0,E59&gt;0),1,"")</f>
        <v/>
      </c>
      <c r="F60" s="1224" t="str">
        <f t="shared" si="27"/>
        <v/>
      </c>
      <c r="G60" s="1224" t="str">
        <f t="shared" si="27"/>
        <v/>
      </c>
      <c r="H60" s="1224" t="str">
        <f t="shared" si="27"/>
        <v/>
      </c>
      <c r="I60" s="1224" t="str">
        <f t="shared" si="27"/>
        <v/>
      </c>
      <c r="J60" s="1224" t="str">
        <f t="shared" si="27"/>
        <v/>
      </c>
      <c r="K60" s="1224" t="str">
        <f t="shared" si="27"/>
        <v/>
      </c>
      <c r="L60" s="1225" t="str">
        <f t="shared" si="27"/>
        <v/>
      </c>
      <c r="M60" s="1844"/>
      <c r="N60" s="1847"/>
      <c r="O60" s="1847"/>
      <c r="P60" s="1850"/>
      <c r="Q60" s="1853"/>
      <c r="R60" s="1841"/>
      <c r="S60" s="1841"/>
      <c r="T60" s="1841"/>
      <c r="U60" s="1841"/>
      <c r="V60" s="1838"/>
      <c r="X60" s="1215" t="s">
        <v>388</v>
      </c>
      <c r="Y60" s="1223" t="str">
        <f>IF(OR(Y57&gt;0,Y58&gt;0,Y59&gt;0),1,"")</f>
        <v/>
      </c>
      <c r="Z60" s="1224" t="str">
        <f>IF(OR(Z57&gt;0,Z58&gt;0,Z59&gt;0),1,"")</f>
        <v/>
      </c>
      <c r="AA60" s="1224" t="str">
        <f t="shared" ref="AA60:AH60" si="28">IF(OR(AA57&gt;0,AA58&gt;0,AA59&gt;0),1,"")</f>
        <v/>
      </c>
      <c r="AB60" s="1224" t="str">
        <f t="shared" si="28"/>
        <v/>
      </c>
      <c r="AC60" s="1224" t="str">
        <f t="shared" si="28"/>
        <v/>
      </c>
      <c r="AD60" s="1224" t="str">
        <f t="shared" si="28"/>
        <v/>
      </c>
      <c r="AE60" s="1224" t="str">
        <f t="shared" si="28"/>
        <v/>
      </c>
      <c r="AF60" s="1224" t="str">
        <f t="shared" si="28"/>
        <v/>
      </c>
      <c r="AG60" s="1224" t="str">
        <f t="shared" si="28"/>
        <v/>
      </c>
      <c r="AH60" s="1225" t="str">
        <f t="shared" si="28"/>
        <v/>
      </c>
      <c r="AI60" s="1844"/>
      <c r="AJ60" s="1847"/>
      <c r="AK60" s="1847"/>
      <c r="AL60" s="1850"/>
      <c r="AM60" s="1853"/>
      <c r="AN60" s="1841"/>
      <c r="AO60" s="1841"/>
      <c r="AP60" s="1841"/>
      <c r="AQ60" s="1841"/>
      <c r="AR60" s="1838"/>
      <c r="AT60" s="1215" t="s">
        <v>388</v>
      </c>
      <c r="AU60" s="1223" t="str">
        <f>IF(OR(AU57&gt;0,AU58&gt;0,AU59&gt;0),1,"")</f>
        <v/>
      </c>
      <c r="AV60" s="1224" t="str">
        <f>IF(OR(AV57&gt;0,AV58&gt;0,AV59&gt;0),1,"")</f>
        <v/>
      </c>
      <c r="AW60" s="1224" t="str">
        <f t="shared" ref="AW60:BD60" si="29">IF(OR(AW57&gt;0,AW58&gt;0,AW59&gt;0),1,"")</f>
        <v/>
      </c>
      <c r="AX60" s="1224" t="str">
        <f t="shared" si="29"/>
        <v/>
      </c>
      <c r="AY60" s="1224" t="str">
        <f t="shared" si="29"/>
        <v/>
      </c>
      <c r="AZ60" s="1224" t="str">
        <f t="shared" si="29"/>
        <v/>
      </c>
      <c r="BA60" s="1224" t="str">
        <f t="shared" si="29"/>
        <v/>
      </c>
      <c r="BB60" s="1224" t="str">
        <f t="shared" si="29"/>
        <v/>
      </c>
      <c r="BC60" s="1224" t="str">
        <f t="shared" si="29"/>
        <v/>
      </c>
      <c r="BD60" s="1225" t="str">
        <f t="shared" si="29"/>
        <v/>
      </c>
      <c r="BE60" s="1844"/>
      <c r="BF60" s="1847"/>
      <c r="BG60" s="1847"/>
      <c r="BH60" s="1850"/>
      <c r="BI60" s="1853"/>
      <c r="BJ60" s="1841"/>
      <c r="BK60" s="1841"/>
      <c r="BL60" s="1841"/>
      <c r="BM60" s="1841"/>
      <c r="BN60" s="1838"/>
    </row>
    <row r="61" spans="2:66">
      <c r="M61" s="1"/>
      <c r="N61" s="1"/>
      <c r="O61" s="1"/>
      <c r="P61" s="1"/>
      <c r="AI61" s="1"/>
      <c r="AJ61" s="1"/>
      <c r="AK61" s="1"/>
      <c r="AL61" s="1"/>
      <c r="BE61" s="1"/>
      <c r="BF61" s="1"/>
      <c r="BG61" s="1"/>
      <c r="BH61" s="1"/>
    </row>
    <row r="62" spans="2:66">
      <c r="B62" s="1175"/>
      <c r="C62" s="1176" t="s">
        <v>406</v>
      </c>
      <c r="D62" s="1217" t="s">
        <v>396</v>
      </c>
      <c r="E62" s="1177"/>
      <c r="F62" s="1177" t="s">
        <v>373</v>
      </c>
      <c r="G62" s="1178">
        <v>46087</v>
      </c>
      <c r="H62" s="1167"/>
      <c r="I62" s="1167"/>
      <c r="J62" s="1179" t="s">
        <v>374</v>
      </c>
      <c r="K62" s="1165"/>
      <c r="L62" s="1165"/>
      <c r="M62" s="1165"/>
      <c r="N62" s="1165"/>
      <c r="O62" s="1165"/>
      <c r="P62" s="1165"/>
      <c r="Q62" s="1165"/>
      <c r="R62" s="1165"/>
      <c r="S62" s="1165"/>
      <c r="T62" s="1165"/>
      <c r="U62" s="1165"/>
      <c r="V62" s="1165"/>
      <c r="X62" s="1175"/>
      <c r="Y62" s="1176" t="s">
        <v>406</v>
      </c>
      <c r="Z62" s="1217" t="s">
        <v>411</v>
      </c>
      <c r="AA62" s="1177"/>
      <c r="AB62" s="1177" t="s">
        <v>373</v>
      </c>
      <c r="AC62" s="1178">
        <v>46097</v>
      </c>
      <c r="AD62" s="1167"/>
      <c r="AE62" s="1167"/>
      <c r="AF62" s="1179" t="s">
        <v>374</v>
      </c>
      <c r="AG62" s="1165"/>
      <c r="AH62" s="1165"/>
      <c r="AI62" s="1165"/>
      <c r="AJ62" s="1165"/>
      <c r="AK62" s="1165"/>
      <c r="AL62" s="1165"/>
      <c r="AM62" s="1165"/>
      <c r="AN62" s="1165"/>
      <c r="AO62" s="1165"/>
      <c r="AP62" s="1165"/>
      <c r="AQ62" s="1165"/>
      <c r="AR62" s="1165"/>
      <c r="AT62" s="1175"/>
      <c r="AU62" s="1176" t="s">
        <v>406</v>
      </c>
      <c r="AV62" s="1217" t="s">
        <v>408</v>
      </c>
      <c r="AW62" s="1177"/>
      <c r="AX62" s="1177" t="s">
        <v>373</v>
      </c>
      <c r="AY62" s="1178">
        <v>46107</v>
      </c>
      <c r="AZ62" s="1167"/>
      <c r="BA62" s="1167"/>
      <c r="BB62" s="1179" t="s">
        <v>374</v>
      </c>
      <c r="BC62" s="1165"/>
      <c r="BD62" s="1165"/>
      <c r="BE62" s="1165"/>
      <c r="BF62" s="1165"/>
      <c r="BG62" s="1165"/>
      <c r="BH62" s="1165"/>
      <c r="BI62" s="1165"/>
      <c r="BJ62" s="1165"/>
      <c r="BK62" s="1165"/>
      <c r="BL62" s="1165"/>
      <c r="BM62" s="1165"/>
      <c r="BN62" s="1165"/>
    </row>
    <row r="63" spans="2:66" ht="15.75" customHeight="1">
      <c r="B63" s="1180" t="s">
        <v>375</v>
      </c>
      <c r="C63" s="1181"/>
      <c r="D63" s="1220">
        <f>IF(J63="",#N/A,SUM(C69:L69,C74:L74,C79:L79,C84:L84,C89:L89))</f>
        <v>0</v>
      </c>
      <c r="E63" s="1183" t="s">
        <v>376</v>
      </c>
      <c r="F63" s="1184" t="s">
        <v>377</v>
      </c>
      <c r="G63" s="1181"/>
      <c r="H63" s="1182" t="s">
        <v>378</v>
      </c>
      <c r="I63" s="1181"/>
      <c r="J63" s="1220">
        <f>IF(AND(Q65="",Q70="",Q75="",Q80="",Q85=""),"",SUM(Q65:Q88))</f>
        <v>0</v>
      </c>
      <c r="K63" s="1183" t="s">
        <v>379</v>
      </c>
      <c r="L63" s="1185" t="s">
        <v>377</v>
      </c>
      <c r="M63" s="1866" t="s">
        <v>380</v>
      </c>
      <c r="N63" s="1867"/>
      <c r="O63" s="1867"/>
      <c r="P63" s="1867"/>
      <c r="Q63" s="1868"/>
      <c r="R63" s="1869" t="s">
        <v>389</v>
      </c>
      <c r="S63" s="1869" t="s">
        <v>390</v>
      </c>
      <c r="T63" s="1869" t="s">
        <v>391</v>
      </c>
      <c r="U63" s="1869" t="s">
        <v>392</v>
      </c>
      <c r="V63" s="1871" t="s">
        <v>393</v>
      </c>
      <c r="X63" s="1180" t="s">
        <v>375</v>
      </c>
      <c r="Y63" s="1181"/>
      <c r="Z63" s="1220">
        <f>IF(AF63="",#N/A,SUM(Y69:AH69,Y74:AH74,Y79:AH79,Y84:AH84,Y89:AH89))</f>
        <v>0</v>
      </c>
      <c r="AA63" s="1183" t="s">
        <v>376</v>
      </c>
      <c r="AB63" s="1184" t="s">
        <v>377</v>
      </c>
      <c r="AC63" s="1181"/>
      <c r="AD63" s="1182" t="s">
        <v>378</v>
      </c>
      <c r="AE63" s="1181"/>
      <c r="AF63" s="1220">
        <f>IF(AND(AM65="",AM70="",AM75="",AM80="",AM85=""),"",SUM(AM65:AM88))</f>
        <v>0</v>
      </c>
      <c r="AG63" s="1183" t="s">
        <v>379</v>
      </c>
      <c r="AH63" s="1185" t="s">
        <v>377</v>
      </c>
      <c r="AI63" s="1866" t="s">
        <v>380</v>
      </c>
      <c r="AJ63" s="1867"/>
      <c r="AK63" s="1867"/>
      <c r="AL63" s="1867"/>
      <c r="AM63" s="1868"/>
      <c r="AN63" s="1869" t="s">
        <v>389</v>
      </c>
      <c r="AO63" s="1869" t="s">
        <v>390</v>
      </c>
      <c r="AP63" s="1869" t="s">
        <v>391</v>
      </c>
      <c r="AQ63" s="1869" t="s">
        <v>392</v>
      </c>
      <c r="AR63" s="1871" t="s">
        <v>393</v>
      </c>
      <c r="AT63" s="1180" t="s">
        <v>375</v>
      </c>
      <c r="AU63" s="1181"/>
      <c r="AV63" s="1220">
        <f>IF(BB63="",#N/A,SUM(AU69:BD69,AU74:BD74,AU79:BD79,AU84:BD84,AU89:BD89))</f>
        <v>2</v>
      </c>
      <c r="AW63" s="1183" t="s">
        <v>376</v>
      </c>
      <c r="AX63" s="1184" t="s">
        <v>377</v>
      </c>
      <c r="AY63" s="1181"/>
      <c r="AZ63" s="1182" t="s">
        <v>378</v>
      </c>
      <c r="BA63" s="1181"/>
      <c r="BB63" s="1220">
        <f>IF(AND(BI65="",BI70="",BI75="",BI80="",BI85=""),"",SUM(BI65:BI88))</f>
        <v>2</v>
      </c>
      <c r="BC63" s="1183" t="s">
        <v>379</v>
      </c>
      <c r="BD63" s="1185" t="s">
        <v>377</v>
      </c>
      <c r="BE63" s="1866" t="s">
        <v>380</v>
      </c>
      <c r="BF63" s="1867"/>
      <c r="BG63" s="1867"/>
      <c r="BH63" s="1867"/>
      <c r="BI63" s="1868"/>
      <c r="BJ63" s="1869" t="s">
        <v>389</v>
      </c>
      <c r="BK63" s="1869" t="s">
        <v>390</v>
      </c>
      <c r="BL63" s="1869" t="s">
        <v>391</v>
      </c>
      <c r="BM63" s="1869" t="s">
        <v>392</v>
      </c>
      <c r="BN63" s="1871" t="s">
        <v>393</v>
      </c>
    </row>
    <row r="64" spans="2:66" ht="13.5">
      <c r="B64" s="1186" t="s">
        <v>381</v>
      </c>
      <c r="C64" s="1187">
        <v>1</v>
      </c>
      <c r="D64" s="1218">
        <v>2</v>
      </c>
      <c r="E64" s="1188">
        <v>3</v>
      </c>
      <c r="F64" s="1188">
        <v>4</v>
      </c>
      <c r="G64" s="1188">
        <v>5</v>
      </c>
      <c r="H64" s="1188">
        <v>6</v>
      </c>
      <c r="I64" s="1218">
        <v>7</v>
      </c>
      <c r="J64" s="1218">
        <v>8</v>
      </c>
      <c r="K64" s="1218">
        <v>9</v>
      </c>
      <c r="L64" s="1219">
        <v>10</v>
      </c>
      <c r="M64" s="1189" t="s">
        <v>382</v>
      </c>
      <c r="N64" s="1190" t="s">
        <v>383</v>
      </c>
      <c r="O64" s="1191" t="s">
        <v>384</v>
      </c>
      <c r="P64" s="1192" t="s">
        <v>385</v>
      </c>
      <c r="Q64" s="1193" t="s">
        <v>386</v>
      </c>
      <c r="R64" s="1870"/>
      <c r="S64" s="1870"/>
      <c r="T64" s="1870"/>
      <c r="U64" s="1870"/>
      <c r="V64" s="1872"/>
      <c r="X64" s="1186" t="s">
        <v>381</v>
      </c>
      <c r="Y64" s="1187">
        <v>1</v>
      </c>
      <c r="Z64" s="1218">
        <v>2</v>
      </c>
      <c r="AA64" s="1188">
        <v>3</v>
      </c>
      <c r="AB64" s="1188">
        <v>4</v>
      </c>
      <c r="AC64" s="1188">
        <v>5</v>
      </c>
      <c r="AD64" s="1188">
        <v>6</v>
      </c>
      <c r="AE64" s="1218">
        <v>7</v>
      </c>
      <c r="AF64" s="1218">
        <v>8</v>
      </c>
      <c r="AG64" s="1218">
        <v>9</v>
      </c>
      <c r="AH64" s="1219">
        <v>10</v>
      </c>
      <c r="AI64" s="1189" t="s">
        <v>382</v>
      </c>
      <c r="AJ64" s="1190" t="s">
        <v>383</v>
      </c>
      <c r="AK64" s="1191" t="s">
        <v>384</v>
      </c>
      <c r="AL64" s="1192" t="s">
        <v>385</v>
      </c>
      <c r="AM64" s="1193" t="s">
        <v>386</v>
      </c>
      <c r="AN64" s="1870"/>
      <c r="AO64" s="1870"/>
      <c r="AP64" s="1870"/>
      <c r="AQ64" s="1870"/>
      <c r="AR64" s="1872"/>
      <c r="AT64" s="1186" t="s">
        <v>381</v>
      </c>
      <c r="AU64" s="1187">
        <v>1</v>
      </c>
      <c r="AV64" s="1218">
        <v>2</v>
      </c>
      <c r="AW64" s="1188">
        <v>3</v>
      </c>
      <c r="AX64" s="1188">
        <v>4</v>
      </c>
      <c r="AY64" s="1188">
        <v>5</v>
      </c>
      <c r="AZ64" s="1188">
        <v>6</v>
      </c>
      <c r="BA64" s="1218">
        <v>7</v>
      </c>
      <c r="BB64" s="1218">
        <v>8</v>
      </c>
      <c r="BC64" s="1218">
        <v>9</v>
      </c>
      <c r="BD64" s="1219">
        <v>10</v>
      </c>
      <c r="BE64" s="1189" t="s">
        <v>382</v>
      </c>
      <c r="BF64" s="1190" t="s">
        <v>383</v>
      </c>
      <c r="BG64" s="1191" t="s">
        <v>384</v>
      </c>
      <c r="BH64" s="1192" t="s">
        <v>385</v>
      </c>
      <c r="BI64" s="1193" t="s">
        <v>386</v>
      </c>
      <c r="BJ64" s="1870"/>
      <c r="BK64" s="1870"/>
      <c r="BL64" s="1870"/>
      <c r="BM64" s="1870"/>
      <c r="BN64" s="1872"/>
    </row>
    <row r="65" spans="2:66" ht="14.25" customHeight="1">
      <c r="B65" s="1194" t="s">
        <v>387</v>
      </c>
      <c r="C65" s="1195">
        <v>0</v>
      </c>
      <c r="D65" s="1196"/>
      <c r="E65" s="1196"/>
      <c r="F65" s="1196"/>
      <c r="G65" s="1196"/>
      <c r="H65" s="1196"/>
      <c r="I65" s="1196"/>
      <c r="J65" s="1196"/>
      <c r="K65" s="1196"/>
      <c r="L65" s="1197"/>
      <c r="M65" s="1858">
        <f>SUM(C65:L65)</f>
        <v>0</v>
      </c>
      <c r="N65" s="1860">
        <f>SUM(C66:L66)</f>
        <v>0</v>
      </c>
      <c r="O65" s="1860">
        <f>SUM(C67:L67)</f>
        <v>0</v>
      </c>
      <c r="P65" s="1862">
        <f>SUM(C68:L68)</f>
        <v>0</v>
      </c>
      <c r="Q65" s="1854">
        <f>IF(G62="","",SUM(N65:P69))</f>
        <v>0</v>
      </c>
      <c r="R65" s="1856"/>
      <c r="S65" s="1856"/>
      <c r="T65" s="1856"/>
      <c r="U65" s="1856"/>
      <c r="V65" s="1864" t="s">
        <v>480</v>
      </c>
      <c r="X65" s="1194" t="s">
        <v>387</v>
      </c>
      <c r="Y65" s="1195">
        <v>0</v>
      </c>
      <c r="Z65" s="1196"/>
      <c r="AA65" s="1196"/>
      <c r="AB65" s="1196"/>
      <c r="AC65" s="1196"/>
      <c r="AD65" s="1196"/>
      <c r="AE65" s="1196"/>
      <c r="AF65" s="1196"/>
      <c r="AG65" s="1196"/>
      <c r="AH65" s="1197"/>
      <c r="AI65" s="1858">
        <f>SUM(Y65:AH65)</f>
        <v>0</v>
      </c>
      <c r="AJ65" s="1860">
        <f>SUM(Y66:AH66)</f>
        <v>0</v>
      </c>
      <c r="AK65" s="1860">
        <f>SUM(Y67:AH67)</f>
        <v>0</v>
      </c>
      <c r="AL65" s="1862">
        <f>SUM(Y68:AH68)</f>
        <v>0</v>
      </c>
      <c r="AM65" s="1854">
        <f>IF(AC62="","",SUM(AJ65:AL69))</f>
        <v>0</v>
      </c>
      <c r="AN65" s="1856"/>
      <c r="AO65" s="1856">
        <v>1</v>
      </c>
      <c r="AP65" s="1856"/>
      <c r="AQ65" s="1856"/>
      <c r="AR65" s="1864" t="s">
        <v>480</v>
      </c>
      <c r="AT65" s="1194" t="s">
        <v>387</v>
      </c>
      <c r="AU65" s="1195">
        <v>32</v>
      </c>
      <c r="AV65" s="1196">
        <v>0</v>
      </c>
      <c r="AW65" s="1196"/>
      <c r="AX65" s="1196"/>
      <c r="AY65" s="1196"/>
      <c r="AZ65" s="1196"/>
      <c r="BA65" s="1196"/>
      <c r="BB65" s="1196"/>
      <c r="BC65" s="1196"/>
      <c r="BD65" s="1197"/>
      <c r="BE65" s="1858">
        <f>SUM(AU65:BD65)</f>
        <v>32</v>
      </c>
      <c r="BF65" s="1860">
        <f>SUM(AU66:BD66)</f>
        <v>0</v>
      </c>
      <c r="BG65" s="1860">
        <f>SUM(AU67:BD67)</f>
        <v>0</v>
      </c>
      <c r="BH65" s="1862">
        <f>SUM(AU68:BD68)</f>
        <v>2</v>
      </c>
      <c r="BI65" s="1854">
        <f>IF(AY62="","",SUM(BF65:BH69))</f>
        <v>2</v>
      </c>
      <c r="BJ65" s="1856"/>
      <c r="BK65" s="1856"/>
      <c r="BL65" s="1856"/>
      <c r="BM65" s="1856"/>
      <c r="BN65" s="1864" t="s">
        <v>394</v>
      </c>
    </row>
    <row r="66" spans="2:66" ht="13.5">
      <c r="B66" s="1198" t="s">
        <v>383</v>
      </c>
      <c r="C66" s="1199">
        <v>0</v>
      </c>
      <c r="D66" s="1200"/>
      <c r="E66" s="1200"/>
      <c r="F66" s="1200"/>
      <c r="G66" s="1200"/>
      <c r="H66" s="1200"/>
      <c r="I66" s="1200"/>
      <c r="J66" s="1200"/>
      <c r="K66" s="1200"/>
      <c r="L66" s="1201"/>
      <c r="M66" s="1843"/>
      <c r="N66" s="1846"/>
      <c r="O66" s="1846"/>
      <c r="P66" s="1849"/>
      <c r="Q66" s="1852"/>
      <c r="R66" s="1840"/>
      <c r="S66" s="1840"/>
      <c r="T66" s="1840"/>
      <c r="U66" s="1840"/>
      <c r="V66" s="1837"/>
      <c r="X66" s="1198" t="s">
        <v>383</v>
      </c>
      <c r="Y66" s="1199">
        <v>0</v>
      </c>
      <c r="Z66" s="1200"/>
      <c r="AA66" s="1200"/>
      <c r="AB66" s="1200"/>
      <c r="AC66" s="1200"/>
      <c r="AD66" s="1200"/>
      <c r="AE66" s="1200"/>
      <c r="AF66" s="1200"/>
      <c r="AG66" s="1200"/>
      <c r="AH66" s="1201"/>
      <c r="AI66" s="1843"/>
      <c r="AJ66" s="1846"/>
      <c r="AK66" s="1846"/>
      <c r="AL66" s="1849"/>
      <c r="AM66" s="1852"/>
      <c r="AN66" s="1840"/>
      <c r="AO66" s="1840"/>
      <c r="AP66" s="1840"/>
      <c r="AQ66" s="1840"/>
      <c r="AR66" s="1837"/>
      <c r="AT66" s="1198" t="s">
        <v>383</v>
      </c>
      <c r="AU66" s="1199">
        <v>0</v>
      </c>
      <c r="AV66" s="1200">
        <v>0</v>
      </c>
      <c r="AW66" s="1200"/>
      <c r="AX66" s="1200"/>
      <c r="AY66" s="1200"/>
      <c r="AZ66" s="1200"/>
      <c r="BA66" s="1200"/>
      <c r="BB66" s="1200"/>
      <c r="BC66" s="1200"/>
      <c r="BD66" s="1201"/>
      <c r="BE66" s="1843"/>
      <c r="BF66" s="1846"/>
      <c r="BG66" s="1846"/>
      <c r="BH66" s="1849"/>
      <c r="BI66" s="1852"/>
      <c r="BJ66" s="1840"/>
      <c r="BK66" s="1840"/>
      <c r="BL66" s="1840"/>
      <c r="BM66" s="1840"/>
      <c r="BN66" s="1837"/>
    </row>
    <row r="67" spans="2:66" ht="13.5">
      <c r="B67" s="1202" t="s">
        <v>384</v>
      </c>
      <c r="C67" s="1203"/>
      <c r="D67" s="1204"/>
      <c r="E67" s="1204"/>
      <c r="F67" s="1204"/>
      <c r="G67" s="1204"/>
      <c r="H67" s="1204"/>
      <c r="I67" s="1204"/>
      <c r="J67" s="1204"/>
      <c r="K67" s="1204"/>
      <c r="L67" s="1205"/>
      <c r="M67" s="1843"/>
      <c r="N67" s="1846"/>
      <c r="O67" s="1846"/>
      <c r="P67" s="1849"/>
      <c r="Q67" s="1852"/>
      <c r="R67" s="1840"/>
      <c r="S67" s="1840"/>
      <c r="T67" s="1840"/>
      <c r="U67" s="1840"/>
      <c r="V67" s="1837"/>
      <c r="X67" s="1202" t="s">
        <v>384</v>
      </c>
      <c r="Y67" s="1203"/>
      <c r="Z67" s="1204"/>
      <c r="AA67" s="1204"/>
      <c r="AB67" s="1204"/>
      <c r="AC67" s="1204"/>
      <c r="AD67" s="1204"/>
      <c r="AE67" s="1204"/>
      <c r="AF67" s="1204"/>
      <c r="AG67" s="1204"/>
      <c r="AH67" s="1205"/>
      <c r="AI67" s="1843"/>
      <c r="AJ67" s="1846"/>
      <c r="AK67" s="1846"/>
      <c r="AL67" s="1849"/>
      <c r="AM67" s="1852"/>
      <c r="AN67" s="1840"/>
      <c r="AO67" s="1840"/>
      <c r="AP67" s="1840"/>
      <c r="AQ67" s="1840"/>
      <c r="AR67" s="1837"/>
      <c r="AT67" s="1202" t="s">
        <v>384</v>
      </c>
      <c r="AU67" s="1203"/>
      <c r="AV67" s="1204"/>
      <c r="AW67" s="1204"/>
      <c r="AX67" s="1204"/>
      <c r="AY67" s="1204"/>
      <c r="AZ67" s="1204"/>
      <c r="BA67" s="1204"/>
      <c r="BB67" s="1204"/>
      <c r="BC67" s="1204"/>
      <c r="BD67" s="1205"/>
      <c r="BE67" s="1843"/>
      <c r="BF67" s="1846"/>
      <c r="BG67" s="1846"/>
      <c r="BH67" s="1849"/>
      <c r="BI67" s="1852"/>
      <c r="BJ67" s="1840"/>
      <c r="BK67" s="1840"/>
      <c r="BL67" s="1840"/>
      <c r="BM67" s="1840"/>
      <c r="BN67" s="1837"/>
    </row>
    <row r="68" spans="2:66" ht="13.5">
      <c r="B68" s="1206" t="s">
        <v>385</v>
      </c>
      <c r="C68" s="1207">
        <v>0</v>
      </c>
      <c r="D68" s="1208"/>
      <c r="E68" s="1208"/>
      <c r="F68" s="1208"/>
      <c r="G68" s="1208"/>
      <c r="H68" s="1208"/>
      <c r="I68" s="1208"/>
      <c r="J68" s="1208"/>
      <c r="K68" s="1208"/>
      <c r="L68" s="1209"/>
      <c r="M68" s="1843"/>
      <c r="N68" s="1846"/>
      <c r="O68" s="1846"/>
      <c r="P68" s="1849"/>
      <c r="Q68" s="1852"/>
      <c r="R68" s="1840"/>
      <c r="S68" s="1840"/>
      <c r="T68" s="1840"/>
      <c r="U68" s="1840"/>
      <c r="V68" s="1837"/>
      <c r="X68" s="1206" t="s">
        <v>385</v>
      </c>
      <c r="Y68" s="1207">
        <v>0</v>
      </c>
      <c r="Z68" s="1208"/>
      <c r="AA68" s="1208"/>
      <c r="AB68" s="1208"/>
      <c r="AC68" s="1208"/>
      <c r="AD68" s="1208"/>
      <c r="AE68" s="1208"/>
      <c r="AF68" s="1208"/>
      <c r="AG68" s="1208"/>
      <c r="AH68" s="1209"/>
      <c r="AI68" s="1843"/>
      <c r="AJ68" s="1846"/>
      <c r="AK68" s="1846"/>
      <c r="AL68" s="1849"/>
      <c r="AM68" s="1852"/>
      <c r="AN68" s="1840"/>
      <c r="AO68" s="1840"/>
      <c r="AP68" s="1840"/>
      <c r="AQ68" s="1840"/>
      <c r="AR68" s="1837"/>
      <c r="AT68" s="1206" t="s">
        <v>385</v>
      </c>
      <c r="AU68" s="1207">
        <v>1</v>
      </c>
      <c r="AV68" s="1208">
        <v>1</v>
      </c>
      <c r="AW68" s="1208"/>
      <c r="AX68" s="1208"/>
      <c r="AY68" s="1208"/>
      <c r="AZ68" s="1208"/>
      <c r="BA68" s="1208"/>
      <c r="BB68" s="1208"/>
      <c r="BC68" s="1208"/>
      <c r="BD68" s="1209"/>
      <c r="BE68" s="1843"/>
      <c r="BF68" s="1846"/>
      <c r="BG68" s="1846"/>
      <c r="BH68" s="1849"/>
      <c r="BI68" s="1852"/>
      <c r="BJ68" s="1840"/>
      <c r="BK68" s="1840"/>
      <c r="BL68" s="1840"/>
      <c r="BM68" s="1840"/>
      <c r="BN68" s="1837"/>
    </row>
    <row r="69" spans="2:66" ht="14" thickBot="1">
      <c r="B69" s="1210" t="s">
        <v>388</v>
      </c>
      <c r="C69" s="1221" t="str">
        <f>IF(OR(C66&gt;0,C67&gt;0,C68&gt;0),1,"")</f>
        <v/>
      </c>
      <c r="D69" s="1222" t="str">
        <f>IF(OR(D66&gt;0,D67&gt;0,D68&gt;0),1,"")</f>
        <v/>
      </c>
      <c r="E69" s="1222" t="str">
        <f t="shared" ref="E69:L69" si="30">IF(OR(E66&gt;0,E67&gt;0,E68&gt;0),1,"")</f>
        <v/>
      </c>
      <c r="F69" s="1222" t="str">
        <f t="shared" si="30"/>
        <v/>
      </c>
      <c r="G69" s="1222" t="str">
        <f t="shared" si="30"/>
        <v/>
      </c>
      <c r="H69" s="1222" t="str">
        <f t="shared" si="30"/>
        <v/>
      </c>
      <c r="I69" s="1222" t="str">
        <f t="shared" si="30"/>
        <v/>
      </c>
      <c r="J69" s="1222" t="str">
        <f t="shared" si="30"/>
        <v/>
      </c>
      <c r="K69" s="1222" t="str">
        <f t="shared" si="30"/>
        <v/>
      </c>
      <c r="L69" s="1222" t="str">
        <f t="shared" si="30"/>
        <v/>
      </c>
      <c r="M69" s="1859"/>
      <c r="N69" s="1861"/>
      <c r="O69" s="1861"/>
      <c r="P69" s="1863"/>
      <c r="Q69" s="1855"/>
      <c r="R69" s="1857"/>
      <c r="S69" s="1857"/>
      <c r="T69" s="1857"/>
      <c r="U69" s="1857"/>
      <c r="V69" s="1865"/>
      <c r="X69" s="1210" t="s">
        <v>388</v>
      </c>
      <c r="Y69" s="1221" t="str">
        <f>IF(OR(Y66&gt;0,Y67&gt;0,Y68&gt;0),1,"")</f>
        <v/>
      </c>
      <c r="Z69" s="1222" t="str">
        <f>IF(OR(Z66&gt;0,Z67&gt;0,Z68&gt;0),1,"")</f>
        <v/>
      </c>
      <c r="AA69" s="1222" t="str">
        <f t="shared" ref="AA69:AH69" si="31">IF(OR(AA66&gt;0,AA67&gt;0,AA68&gt;0),1,"")</f>
        <v/>
      </c>
      <c r="AB69" s="1222" t="str">
        <f t="shared" si="31"/>
        <v/>
      </c>
      <c r="AC69" s="1222" t="str">
        <f t="shared" si="31"/>
        <v/>
      </c>
      <c r="AD69" s="1222" t="str">
        <f t="shared" si="31"/>
        <v/>
      </c>
      <c r="AE69" s="1222" t="str">
        <f t="shared" si="31"/>
        <v/>
      </c>
      <c r="AF69" s="1222" t="str">
        <f t="shared" si="31"/>
        <v/>
      </c>
      <c r="AG69" s="1222" t="str">
        <f t="shared" si="31"/>
        <v/>
      </c>
      <c r="AH69" s="1222" t="str">
        <f t="shared" si="31"/>
        <v/>
      </c>
      <c r="AI69" s="1859"/>
      <c r="AJ69" s="1861"/>
      <c r="AK69" s="1861"/>
      <c r="AL69" s="1863"/>
      <c r="AM69" s="1855"/>
      <c r="AN69" s="1857"/>
      <c r="AO69" s="1857"/>
      <c r="AP69" s="1857"/>
      <c r="AQ69" s="1857"/>
      <c r="AR69" s="1865"/>
      <c r="AT69" s="1210" t="s">
        <v>388</v>
      </c>
      <c r="AU69" s="1221">
        <f>IF(OR(AU66&gt;0,AU67&gt;0,AU68&gt;0),1,"")</f>
        <v>1</v>
      </c>
      <c r="AV69" s="1222">
        <f>IF(OR(AV66&gt;0,AV67&gt;0,AV68&gt;0),1,"")</f>
        <v>1</v>
      </c>
      <c r="AW69" s="1222" t="str">
        <f t="shared" ref="AW69:BD69" si="32">IF(OR(AW66&gt;0,AW67&gt;0,AW68&gt;0),1,"")</f>
        <v/>
      </c>
      <c r="AX69" s="1222" t="str">
        <f t="shared" si="32"/>
        <v/>
      </c>
      <c r="AY69" s="1222" t="str">
        <f t="shared" si="32"/>
        <v/>
      </c>
      <c r="AZ69" s="1222" t="str">
        <f t="shared" si="32"/>
        <v/>
      </c>
      <c r="BA69" s="1222" t="str">
        <f t="shared" si="32"/>
        <v/>
      </c>
      <c r="BB69" s="1222" t="str">
        <f t="shared" si="32"/>
        <v/>
      </c>
      <c r="BC69" s="1222" t="str">
        <f t="shared" si="32"/>
        <v/>
      </c>
      <c r="BD69" s="1222" t="str">
        <f t="shared" si="32"/>
        <v/>
      </c>
      <c r="BE69" s="1859"/>
      <c r="BF69" s="1861"/>
      <c r="BG69" s="1861"/>
      <c r="BH69" s="1863"/>
      <c r="BI69" s="1855"/>
      <c r="BJ69" s="1857"/>
      <c r="BK69" s="1857"/>
      <c r="BL69" s="1857"/>
      <c r="BM69" s="1857"/>
      <c r="BN69" s="1865"/>
    </row>
    <row r="70" spans="2:66" ht="15" customHeight="1" thickTop="1">
      <c r="B70" s="1211" t="s">
        <v>387</v>
      </c>
      <c r="C70" s="1212"/>
      <c r="D70" s="1213"/>
      <c r="E70" s="1213"/>
      <c r="F70" s="1213"/>
      <c r="G70" s="1213"/>
      <c r="H70" s="1213"/>
      <c r="I70" s="1213"/>
      <c r="J70" s="1213"/>
      <c r="K70" s="1213"/>
      <c r="L70" s="1214"/>
      <c r="M70" s="1858">
        <f>SUM(C70:L70)</f>
        <v>0</v>
      </c>
      <c r="N70" s="1860">
        <f>SUM(C71:L71)</f>
        <v>0</v>
      </c>
      <c r="O70" s="1860">
        <f>SUM(C72:L72)</f>
        <v>0</v>
      </c>
      <c r="P70" s="1862">
        <f>SUM(C73:L73)</f>
        <v>0</v>
      </c>
      <c r="Q70" s="1854">
        <f>IF(G62="","",SUM(N70:P74))</f>
        <v>0</v>
      </c>
      <c r="R70" s="1856"/>
      <c r="S70" s="1856"/>
      <c r="T70" s="1856"/>
      <c r="U70" s="1856"/>
      <c r="V70" s="1864" t="s">
        <v>481</v>
      </c>
      <c r="X70" s="1211" t="s">
        <v>387</v>
      </c>
      <c r="Y70" s="1212"/>
      <c r="Z70" s="1213"/>
      <c r="AA70" s="1213"/>
      <c r="AB70" s="1213"/>
      <c r="AC70" s="1213"/>
      <c r="AD70" s="1213"/>
      <c r="AE70" s="1213"/>
      <c r="AF70" s="1213"/>
      <c r="AG70" s="1213"/>
      <c r="AH70" s="1214"/>
      <c r="AI70" s="1858">
        <f>SUM(Y70:AH70)</f>
        <v>0</v>
      </c>
      <c r="AJ70" s="1860">
        <f>SUM(Y71:AH71)</f>
        <v>0</v>
      </c>
      <c r="AK70" s="1860">
        <f>SUM(Y72:AH72)</f>
        <v>0</v>
      </c>
      <c r="AL70" s="1862">
        <f>SUM(Y73:AH73)</f>
        <v>0</v>
      </c>
      <c r="AM70" s="1854">
        <f>IF(AC62="","",SUM(AJ70:AL74))</f>
        <v>0</v>
      </c>
      <c r="AN70" s="1856"/>
      <c r="AO70" s="1856"/>
      <c r="AP70" s="1856"/>
      <c r="AQ70" s="1856"/>
      <c r="AR70" s="1864" t="s">
        <v>481</v>
      </c>
      <c r="AT70" s="1211" t="s">
        <v>387</v>
      </c>
      <c r="AU70" s="1212"/>
      <c r="AV70" s="1213"/>
      <c r="AW70" s="1213"/>
      <c r="AX70" s="1213"/>
      <c r="AY70" s="1213"/>
      <c r="AZ70" s="1213"/>
      <c r="BA70" s="1213"/>
      <c r="BB70" s="1213"/>
      <c r="BC70" s="1213"/>
      <c r="BD70" s="1214"/>
      <c r="BE70" s="1858">
        <f>SUM(AU70:BD70)</f>
        <v>0</v>
      </c>
      <c r="BF70" s="1860">
        <f>SUM(AU71:BD71)</f>
        <v>0</v>
      </c>
      <c r="BG70" s="1860">
        <f>SUM(AU72:BD72)</f>
        <v>0</v>
      </c>
      <c r="BH70" s="1862">
        <f>SUM(AU73:BD73)</f>
        <v>0</v>
      </c>
      <c r="BI70" s="1854">
        <f>IF(AY62="","",SUM(BF70:BH74))</f>
        <v>0</v>
      </c>
      <c r="BJ70" s="1856"/>
      <c r="BK70" s="1856"/>
      <c r="BL70" s="1856"/>
      <c r="BM70" s="1856"/>
      <c r="BN70" s="1864" t="s">
        <v>395</v>
      </c>
    </row>
    <row r="71" spans="2:66" ht="13.5">
      <c r="B71" s="1198" t="s">
        <v>383</v>
      </c>
      <c r="C71" s="1199"/>
      <c r="D71" s="1200"/>
      <c r="E71" s="1200"/>
      <c r="F71" s="1200"/>
      <c r="G71" s="1200"/>
      <c r="H71" s="1200"/>
      <c r="I71" s="1200"/>
      <c r="J71" s="1200"/>
      <c r="K71" s="1200"/>
      <c r="L71" s="1201"/>
      <c r="M71" s="1843"/>
      <c r="N71" s="1846"/>
      <c r="O71" s="1846"/>
      <c r="P71" s="1849"/>
      <c r="Q71" s="1852"/>
      <c r="R71" s="1840"/>
      <c r="S71" s="1840"/>
      <c r="T71" s="1840"/>
      <c r="U71" s="1840"/>
      <c r="V71" s="1837"/>
      <c r="X71" s="1198" t="s">
        <v>383</v>
      </c>
      <c r="Y71" s="1199"/>
      <c r="Z71" s="1200"/>
      <c r="AA71" s="1200"/>
      <c r="AB71" s="1200"/>
      <c r="AC71" s="1200"/>
      <c r="AD71" s="1200"/>
      <c r="AE71" s="1200"/>
      <c r="AF71" s="1200"/>
      <c r="AG71" s="1200"/>
      <c r="AH71" s="1201"/>
      <c r="AI71" s="1843"/>
      <c r="AJ71" s="1846"/>
      <c r="AK71" s="1846"/>
      <c r="AL71" s="1849"/>
      <c r="AM71" s="1852"/>
      <c r="AN71" s="1840"/>
      <c r="AO71" s="1840"/>
      <c r="AP71" s="1840"/>
      <c r="AQ71" s="1840"/>
      <c r="AR71" s="1837"/>
      <c r="AT71" s="1198" t="s">
        <v>383</v>
      </c>
      <c r="AU71" s="1199"/>
      <c r="AV71" s="1200"/>
      <c r="AW71" s="1200"/>
      <c r="AX71" s="1200"/>
      <c r="AY71" s="1200"/>
      <c r="AZ71" s="1200"/>
      <c r="BA71" s="1200"/>
      <c r="BB71" s="1200"/>
      <c r="BC71" s="1200"/>
      <c r="BD71" s="1201"/>
      <c r="BE71" s="1843"/>
      <c r="BF71" s="1846"/>
      <c r="BG71" s="1846"/>
      <c r="BH71" s="1849"/>
      <c r="BI71" s="1852"/>
      <c r="BJ71" s="1840"/>
      <c r="BK71" s="1840"/>
      <c r="BL71" s="1840"/>
      <c r="BM71" s="1840"/>
      <c r="BN71" s="1837"/>
    </row>
    <row r="72" spans="2:66" ht="13.5">
      <c r="B72" s="1202" t="s">
        <v>384</v>
      </c>
      <c r="C72" s="1203"/>
      <c r="D72" s="1204"/>
      <c r="E72" s="1204"/>
      <c r="F72" s="1204"/>
      <c r="G72" s="1204"/>
      <c r="H72" s="1204"/>
      <c r="I72" s="1204"/>
      <c r="J72" s="1204"/>
      <c r="K72" s="1204"/>
      <c r="L72" s="1205"/>
      <c r="M72" s="1843"/>
      <c r="N72" s="1846"/>
      <c r="O72" s="1846"/>
      <c r="P72" s="1849"/>
      <c r="Q72" s="1852"/>
      <c r="R72" s="1840"/>
      <c r="S72" s="1840"/>
      <c r="T72" s="1840"/>
      <c r="U72" s="1840"/>
      <c r="V72" s="1837"/>
      <c r="X72" s="1202" t="s">
        <v>384</v>
      </c>
      <c r="Y72" s="1203"/>
      <c r="Z72" s="1204"/>
      <c r="AA72" s="1204"/>
      <c r="AB72" s="1204"/>
      <c r="AC72" s="1204"/>
      <c r="AD72" s="1204"/>
      <c r="AE72" s="1204"/>
      <c r="AF72" s="1204"/>
      <c r="AG72" s="1204"/>
      <c r="AH72" s="1205"/>
      <c r="AI72" s="1843"/>
      <c r="AJ72" s="1846"/>
      <c r="AK72" s="1846"/>
      <c r="AL72" s="1849"/>
      <c r="AM72" s="1852"/>
      <c r="AN72" s="1840"/>
      <c r="AO72" s="1840"/>
      <c r="AP72" s="1840"/>
      <c r="AQ72" s="1840"/>
      <c r="AR72" s="1837"/>
      <c r="AT72" s="1202" t="s">
        <v>384</v>
      </c>
      <c r="AU72" s="1203"/>
      <c r="AV72" s="1204"/>
      <c r="AW72" s="1204"/>
      <c r="AX72" s="1204"/>
      <c r="AY72" s="1204"/>
      <c r="AZ72" s="1204"/>
      <c r="BA72" s="1204"/>
      <c r="BB72" s="1204"/>
      <c r="BC72" s="1204"/>
      <c r="BD72" s="1205"/>
      <c r="BE72" s="1843"/>
      <c r="BF72" s="1846"/>
      <c r="BG72" s="1846"/>
      <c r="BH72" s="1849"/>
      <c r="BI72" s="1852"/>
      <c r="BJ72" s="1840"/>
      <c r="BK72" s="1840"/>
      <c r="BL72" s="1840"/>
      <c r="BM72" s="1840"/>
      <c r="BN72" s="1837"/>
    </row>
    <row r="73" spans="2:66" ht="13.5">
      <c r="B73" s="1202" t="s">
        <v>385</v>
      </c>
      <c r="C73" s="1203"/>
      <c r="D73" s="1204"/>
      <c r="E73" s="1204"/>
      <c r="F73" s="1204"/>
      <c r="G73" s="1204"/>
      <c r="H73" s="1204"/>
      <c r="I73" s="1204"/>
      <c r="J73" s="1204"/>
      <c r="K73" s="1204"/>
      <c r="L73" s="1205"/>
      <c r="M73" s="1843"/>
      <c r="N73" s="1846"/>
      <c r="O73" s="1846"/>
      <c r="P73" s="1849"/>
      <c r="Q73" s="1852"/>
      <c r="R73" s="1840"/>
      <c r="S73" s="1840"/>
      <c r="T73" s="1840"/>
      <c r="U73" s="1840"/>
      <c r="V73" s="1837"/>
      <c r="X73" s="1202" t="s">
        <v>385</v>
      </c>
      <c r="Y73" s="1203"/>
      <c r="Z73" s="1204"/>
      <c r="AA73" s="1204"/>
      <c r="AB73" s="1204"/>
      <c r="AC73" s="1204"/>
      <c r="AD73" s="1204"/>
      <c r="AE73" s="1204"/>
      <c r="AF73" s="1204"/>
      <c r="AG73" s="1204"/>
      <c r="AH73" s="1205"/>
      <c r="AI73" s="1843"/>
      <c r="AJ73" s="1846"/>
      <c r="AK73" s="1846"/>
      <c r="AL73" s="1849"/>
      <c r="AM73" s="1852"/>
      <c r="AN73" s="1840"/>
      <c r="AO73" s="1840"/>
      <c r="AP73" s="1840"/>
      <c r="AQ73" s="1840"/>
      <c r="AR73" s="1837"/>
      <c r="AT73" s="1202" t="s">
        <v>385</v>
      </c>
      <c r="AU73" s="1203"/>
      <c r="AV73" s="1204"/>
      <c r="AW73" s="1204"/>
      <c r="AX73" s="1204"/>
      <c r="AY73" s="1204"/>
      <c r="AZ73" s="1204"/>
      <c r="BA73" s="1204"/>
      <c r="BB73" s="1204"/>
      <c r="BC73" s="1204"/>
      <c r="BD73" s="1205"/>
      <c r="BE73" s="1843"/>
      <c r="BF73" s="1846"/>
      <c r="BG73" s="1846"/>
      <c r="BH73" s="1849"/>
      <c r="BI73" s="1852"/>
      <c r="BJ73" s="1840"/>
      <c r="BK73" s="1840"/>
      <c r="BL73" s="1840"/>
      <c r="BM73" s="1840"/>
      <c r="BN73" s="1837"/>
    </row>
    <row r="74" spans="2:66" ht="14" thickBot="1">
      <c r="B74" s="1210" t="s">
        <v>388</v>
      </c>
      <c r="C74" s="1221" t="str">
        <f>IF(OR(C71&gt;0,C72&gt;0,C73&gt;0),1,"")</f>
        <v/>
      </c>
      <c r="D74" s="1222" t="str">
        <f>IF(OR(D71&gt;0,D72&gt;0,D73&gt;0),1,"")</f>
        <v/>
      </c>
      <c r="E74" s="1222" t="str">
        <f t="shared" ref="E74:L74" si="33">IF(OR(E71&gt;0,E72&gt;0,E73&gt;0),1,"")</f>
        <v/>
      </c>
      <c r="F74" s="1222" t="str">
        <f t="shared" si="33"/>
        <v/>
      </c>
      <c r="G74" s="1222" t="str">
        <f t="shared" si="33"/>
        <v/>
      </c>
      <c r="H74" s="1222" t="str">
        <f t="shared" si="33"/>
        <v/>
      </c>
      <c r="I74" s="1222" t="str">
        <f t="shared" si="33"/>
        <v/>
      </c>
      <c r="J74" s="1222" t="str">
        <f t="shared" si="33"/>
        <v/>
      </c>
      <c r="K74" s="1222" t="str">
        <f t="shared" si="33"/>
        <v/>
      </c>
      <c r="L74" s="1222" t="str">
        <f t="shared" si="33"/>
        <v/>
      </c>
      <c r="M74" s="1859"/>
      <c r="N74" s="1861"/>
      <c r="O74" s="1861"/>
      <c r="P74" s="1863"/>
      <c r="Q74" s="1855"/>
      <c r="R74" s="1857"/>
      <c r="S74" s="1857"/>
      <c r="T74" s="1857"/>
      <c r="U74" s="1857"/>
      <c r="V74" s="1865"/>
      <c r="X74" s="1210" t="s">
        <v>388</v>
      </c>
      <c r="Y74" s="1221" t="str">
        <f>IF(OR(Y71&gt;0,Y72&gt;0,Y73&gt;0),1,"")</f>
        <v/>
      </c>
      <c r="Z74" s="1222" t="str">
        <f>IF(OR(Z71&gt;0,Z72&gt;0,Z73&gt;0),1,"")</f>
        <v/>
      </c>
      <c r="AA74" s="1222" t="str">
        <f t="shared" ref="AA74:AH74" si="34">IF(OR(AA71&gt;0,AA72&gt;0,AA73&gt;0),1,"")</f>
        <v/>
      </c>
      <c r="AB74" s="1222" t="str">
        <f t="shared" si="34"/>
        <v/>
      </c>
      <c r="AC74" s="1222" t="str">
        <f t="shared" si="34"/>
        <v/>
      </c>
      <c r="AD74" s="1222" t="str">
        <f t="shared" si="34"/>
        <v/>
      </c>
      <c r="AE74" s="1222" t="str">
        <f t="shared" si="34"/>
        <v/>
      </c>
      <c r="AF74" s="1222" t="str">
        <f t="shared" si="34"/>
        <v/>
      </c>
      <c r="AG74" s="1222" t="str">
        <f t="shared" si="34"/>
        <v/>
      </c>
      <c r="AH74" s="1222" t="str">
        <f t="shared" si="34"/>
        <v/>
      </c>
      <c r="AI74" s="1859"/>
      <c r="AJ74" s="1861"/>
      <c r="AK74" s="1861"/>
      <c r="AL74" s="1863"/>
      <c r="AM74" s="1855"/>
      <c r="AN74" s="1857"/>
      <c r="AO74" s="1857"/>
      <c r="AP74" s="1857"/>
      <c r="AQ74" s="1857"/>
      <c r="AR74" s="1865"/>
      <c r="AT74" s="1210" t="s">
        <v>388</v>
      </c>
      <c r="AU74" s="1221" t="str">
        <f>IF(OR(AU71&gt;0,AU72&gt;0,AU73&gt;0),1,"")</f>
        <v/>
      </c>
      <c r="AV74" s="1222" t="str">
        <f>IF(OR(AV71&gt;0,AV72&gt;0,AV73&gt;0),1,"")</f>
        <v/>
      </c>
      <c r="AW74" s="1222" t="str">
        <f t="shared" ref="AW74:BD74" si="35">IF(OR(AW71&gt;0,AW72&gt;0,AW73&gt;0),1,"")</f>
        <v/>
      </c>
      <c r="AX74" s="1222" t="str">
        <f t="shared" si="35"/>
        <v/>
      </c>
      <c r="AY74" s="1222" t="str">
        <f t="shared" si="35"/>
        <v/>
      </c>
      <c r="AZ74" s="1222" t="str">
        <f t="shared" si="35"/>
        <v/>
      </c>
      <c r="BA74" s="1222" t="str">
        <f t="shared" si="35"/>
        <v/>
      </c>
      <c r="BB74" s="1222" t="str">
        <f t="shared" si="35"/>
        <v/>
      </c>
      <c r="BC74" s="1222" t="str">
        <f t="shared" si="35"/>
        <v/>
      </c>
      <c r="BD74" s="1222" t="str">
        <f t="shared" si="35"/>
        <v/>
      </c>
      <c r="BE74" s="1859"/>
      <c r="BF74" s="1861"/>
      <c r="BG74" s="1861"/>
      <c r="BH74" s="1863"/>
      <c r="BI74" s="1855"/>
      <c r="BJ74" s="1857"/>
      <c r="BK74" s="1857"/>
      <c r="BL74" s="1857"/>
      <c r="BM74" s="1857"/>
      <c r="BN74" s="1865"/>
    </row>
    <row r="75" spans="2:66" ht="15" customHeight="1" thickTop="1">
      <c r="B75" s="1194" t="s">
        <v>387</v>
      </c>
      <c r="C75" s="1195"/>
      <c r="D75" s="1196"/>
      <c r="E75" s="1196"/>
      <c r="F75" s="1196"/>
      <c r="G75" s="1196"/>
      <c r="H75" s="1196"/>
      <c r="I75" s="1196"/>
      <c r="J75" s="1196"/>
      <c r="K75" s="1196"/>
      <c r="L75" s="1197"/>
      <c r="M75" s="1858">
        <f>SUM(C75:L75)</f>
        <v>0</v>
      </c>
      <c r="N75" s="1860">
        <f>SUM(C76:L76)</f>
        <v>0</v>
      </c>
      <c r="O75" s="1860">
        <f>SUM(C77:L77)</f>
        <v>0</v>
      </c>
      <c r="P75" s="1862">
        <f>SUM(C78:L78)</f>
        <v>0</v>
      </c>
      <c r="Q75" s="1854">
        <f>IF(G62="","",SUM(N75:P79))</f>
        <v>0</v>
      </c>
      <c r="R75" s="1856"/>
      <c r="S75" s="1856"/>
      <c r="T75" s="1856"/>
      <c r="U75" s="1856"/>
      <c r="V75" s="1864" t="s">
        <v>395</v>
      </c>
      <c r="X75" s="1194" t="s">
        <v>387</v>
      </c>
      <c r="Y75" s="1195"/>
      <c r="Z75" s="1196"/>
      <c r="AA75" s="1196"/>
      <c r="AB75" s="1196"/>
      <c r="AC75" s="1196"/>
      <c r="AD75" s="1196"/>
      <c r="AE75" s="1196"/>
      <c r="AF75" s="1196"/>
      <c r="AG75" s="1196"/>
      <c r="AH75" s="1197"/>
      <c r="AI75" s="1858">
        <f>SUM(Y75:AH75)</f>
        <v>0</v>
      </c>
      <c r="AJ75" s="1860">
        <f>SUM(Y76:AH76)</f>
        <v>0</v>
      </c>
      <c r="AK75" s="1860">
        <f>SUM(Y77:AH77)</f>
        <v>0</v>
      </c>
      <c r="AL75" s="1862">
        <f>SUM(Y78:AH78)</f>
        <v>0</v>
      </c>
      <c r="AM75" s="1854">
        <f>IF(AC62="","",SUM(AJ75:AL79))</f>
        <v>0</v>
      </c>
      <c r="AN75" s="1856"/>
      <c r="AO75" s="1856"/>
      <c r="AP75" s="1856"/>
      <c r="AQ75" s="1856"/>
      <c r="AR75" s="1864" t="s">
        <v>482</v>
      </c>
      <c r="AT75" s="1194" t="s">
        <v>387</v>
      </c>
      <c r="AU75" s="1195"/>
      <c r="AV75" s="1196"/>
      <c r="AW75" s="1196"/>
      <c r="AX75" s="1196"/>
      <c r="AY75" s="1196"/>
      <c r="AZ75" s="1196"/>
      <c r="BA75" s="1196"/>
      <c r="BB75" s="1196"/>
      <c r="BC75" s="1196"/>
      <c r="BD75" s="1197"/>
      <c r="BE75" s="1858">
        <f>SUM(AU75:BD75)</f>
        <v>0</v>
      </c>
      <c r="BF75" s="1860">
        <f>SUM(AU76:BD76)</f>
        <v>0</v>
      </c>
      <c r="BG75" s="1860">
        <f>SUM(AU77:BD77)</f>
        <v>0</v>
      </c>
      <c r="BH75" s="1862">
        <f>SUM(AU78:BD78)</f>
        <v>0</v>
      </c>
      <c r="BI75" s="1854">
        <f>IF(AY62="","",SUM(BF75:BH79))</f>
        <v>0</v>
      </c>
      <c r="BJ75" s="1856"/>
      <c r="BK75" s="1856"/>
      <c r="BL75" s="1856"/>
      <c r="BM75" s="1856"/>
      <c r="BN75" s="1864" t="s">
        <v>395</v>
      </c>
    </row>
    <row r="76" spans="2:66" ht="13.5">
      <c r="B76" s="1198" t="s">
        <v>383</v>
      </c>
      <c r="C76" s="1199"/>
      <c r="D76" s="1200"/>
      <c r="E76" s="1200"/>
      <c r="F76" s="1200"/>
      <c r="G76" s="1200"/>
      <c r="H76" s="1200"/>
      <c r="I76" s="1200"/>
      <c r="J76" s="1200"/>
      <c r="K76" s="1200"/>
      <c r="L76" s="1201"/>
      <c r="M76" s="1843"/>
      <c r="N76" s="1846"/>
      <c r="O76" s="1846"/>
      <c r="P76" s="1849"/>
      <c r="Q76" s="1852"/>
      <c r="R76" s="1840"/>
      <c r="S76" s="1840"/>
      <c r="T76" s="1840"/>
      <c r="U76" s="1840"/>
      <c r="V76" s="1837"/>
      <c r="X76" s="1198" t="s">
        <v>383</v>
      </c>
      <c r="Y76" s="1199"/>
      <c r="Z76" s="1200"/>
      <c r="AA76" s="1200"/>
      <c r="AB76" s="1200"/>
      <c r="AC76" s="1200"/>
      <c r="AD76" s="1200"/>
      <c r="AE76" s="1200"/>
      <c r="AF76" s="1200"/>
      <c r="AG76" s="1200"/>
      <c r="AH76" s="1201"/>
      <c r="AI76" s="1843"/>
      <c r="AJ76" s="1846"/>
      <c r="AK76" s="1846"/>
      <c r="AL76" s="1849"/>
      <c r="AM76" s="1852"/>
      <c r="AN76" s="1840"/>
      <c r="AO76" s="1840"/>
      <c r="AP76" s="1840"/>
      <c r="AQ76" s="1840"/>
      <c r="AR76" s="1837"/>
      <c r="AT76" s="1198" t="s">
        <v>383</v>
      </c>
      <c r="AU76" s="1199"/>
      <c r="AV76" s="1200"/>
      <c r="AW76" s="1200"/>
      <c r="AX76" s="1200"/>
      <c r="AY76" s="1200"/>
      <c r="AZ76" s="1200"/>
      <c r="BA76" s="1200"/>
      <c r="BB76" s="1200"/>
      <c r="BC76" s="1200"/>
      <c r="BD76" s="1201"/>
      <c r="BE76" s="1843"/>
      <c r="BF76" s="1846"/>
      <c r="BG76" s="1846"/>
      <c r="BH76" s="1849"/>
      <c r="BI76" s="1852"/>
      <c r="BJ76" s="1840"/>
      <c r="BK76" s="1840"/>
      <c r="BL76" s="1840"/>
      <c r="BM76" s="1840"/>
      <c r="BN76" s="1837"/>
    </row>
    <row r="77" spans="2:66" ht="13.5">
      <c r="B77" s="1202" t="s">
        <v>384</v>
      </c>
      <c r="C77" s="1203"/>
      <c r="D77" s="1204"/>
      <c r="E77" s="1204"/>
      <c r="F77" s="1204"/>
      <c r="G77" s="1204"/>
      <c r="H77" s="1204"/>
      <c r="I77" s="1204"/>
      <c r="J77" s="1204"/>
      <c r="K77" s="1204"/>
      <c r="L77" s="1205"/>
      <c r="M77" s="1843"/>
      <c r="N77" s="1846"/>
      <c r="O77" s="1846"/>
      <c r="P77" s="1849"/>
      <c r="Q77" s="1852"/>
      <c r="R77" s="1840"/>
      <c r="S77" s="1840"/>
      <c r="T77" s="1840"/>
      <c r="U77" s="1840"/>
      <c r="V77" s="1837"/>
      <c r="X77" s="1202" t="s">
        <v>384</v>
      </c>
      <c r="Y77" s="1203"/>
      <c r="Z77" s="1204"/>
      <c r="AA77" s="1204"/>
      <c r="AB77" s="1204"/>
      <c r="AC77" s="1204"/>
      <c r="AD77" s="1204"/>
      <c r="AE77" s="1204"/>
      <c r="AF77" s="1204"/>
      <c r="AG77" s="1204"/>
      <c r="AH77" s="1205"/>
      <c r="AI77" s="1843"/>
      <c r="AJ77" s="1846"/>
      <c r="AK77" s="1846"/>
      <c r="AL77" s="1849"/>
      <c r="AM77" s="1852"/>
      <c r="AN77" s="1840"/>
      <c r="AO77" s="1840"/>
      <c r="AP77" s="1840"/>
      <c r="AQ77" s="1840"/>
      <c r="AR77" s="1837"/>
      <c r="AT77" s="1202" t="s">
        <v>384</v>
      </c>
      <c r="AU77" s="1203"/>
      <c r="AV77" s="1204"/>
      <c r="AW77" s="1204"/>
      <c r="AX77" s="1204"/>
      <c r="AY77" s="1204"/>
      <c r="AZ77" s="1204"/>
      <c r="BA77" s="1204"/>
      <c r="BB77" s="1204"/>
      <c r="BC77" s="1204"/>
      <c r="BD77" s="1205"/>
      <c r="BE77" s="1843"/>
      <c r="BF77" s="1846"/>
      <c r="BG77" s="1846"/>
      <c r="BH77" s="1849"/>
      <c r="BI77" s="1852"/>
      <c r="BJ77" s="1840"/>
      <c r="BK77" s="1840"/>
      <c r="BL77" s="1840"/>
      <c r="BM77" s="1840"/>
      <c r="BN77" s="1837"/>
    </row>
    <row r="78" spans="2:66" ht="13.5">
      <c r="B78" s="1206" t="s">
        <v>385</v>
      </c>
      <c r="C78" s="1207"/>
      <c r="D78" s="1208"/>
      <c r="E78" s="1208"/>
      <c r="F78" s="1208"/>
      <c r="G78" s="1208"/>
      <c r="H78" s="1208"/>
      <c r="I78" s="1208"/>
      <c r="J78" s="1208"/>
      <c r="K78" s="1208"/>
      <c r="L78" s="1209"/>
      <c r="M78" s="1843"/>
      <c r="N78" s="1846"/>
      <c r="O78" s="1846"/>
      <c r="P78" s="1849"/>
      <c r="Q78" s="1852"/>
      <c r="R78" s="1840"/>
      <c r="S78" s="1840"/>
      <c r="T78" s="1840"/>
      <c r="U78" s="1840"/>
      <c r="V78" s="1837"/>
      <c r="X78" s="1206" t="s">
        <v>385</v>
      </c>
      <c r="Y78" s="1207"/>
      <c r="Z78" s="1208"/>
      <c r="AA78" s="1208"/>
      <c r="AB78" s="1208"/>
      <c r="AC78" s="1208"/>
      <c r="AD78" s="1208"/>
      <c r="AE78" s="1208"/>
      <c r="AF78" s="1208"/>
      <c r="AG78" s="1208"/>
      <c r="AH78" s="1209"/>
      <c r="AI78" s="1843"/>
      <c r="AJ78" s="1846"/>
      <c r="AK78" s="1846"/>
      <c r="AL78" s="1849"/>
      <c r="AM78" s="1852"/>
      <c r="AN78" s="1840"/>
      <c r="AO78" s="1840"/>
      <c r="AP78" s="1840"/>
      <c r="AQ78" s="1840"/>
      <c r="AR78" s="1837"/>
      <c r="AT78" s="1206" t="s">
        <v>385</v>
      </c>
      <c r="AU78" s="1207"/>
      <c r="AV78" s="1208"/>
      <c r="AW78" s="1208"/>
      <c r="AX78" s="1208"/>
      <c r="AY78" s="1208"/>
      <c r="AZ78" s="1208"/>
      <c r="BA78" s="1208"/>
      <c r="BB78" s="1208"/>
      <c r="BC78" s="1208"/>
      <c r="BD78" s="1209"/>
      <c r="BE78" s="1843"/>
      <c r="BF78" s="1846"/>
      <c r="BG78" s="1846"/>
      <c r="BH78" s="1849"/>
      <c r="BI78" s="1852"/>
      <c r="BJ78" s="1840"/>
      <c r="BK78" s="1840"/>
      <c r="BL78" s="1840"/>
      <c r="BM78" s="1840"/>
      <c r="BN78" s="1837"/>
    </row>
    <row r="79" spans="2:66" ht="14" thickBot="1">
      <c r="B79" s="1210" t="s">
        <v>388</v>
      </c>
      <c r="C79" s="1221" t="str">
        <f>IF(OR(C76&gt;0,C77&gt;0,C78&gt;0),1,"")</f>
        <v/>
      </c>
      <c r="D79" s="1222" t="str">
        <f>IF(OR(D76&gt;0,D77&gt;0,D78&gt;0),1,"")</f>
        <v/>
      </c>
      <c r="E79" s="1222" t="str">
        <f t="shared" ref="E79:L79" si="36">IF(OR(E76&gt;0,E77&gt;0,E78&gt;0),1,"")</f>
        <v/>
      </c>
      <c r="F79" s="1222" t="str">
        <f t="shared" si="36"/>
        <v/>
      </c>
      <c r="G79" s="1222" t="str">
        <f t="shared" si="36"/>
        <v/>
      </c>
      <c r="H79" s="1222" t="str">
        <f t="shared" si="36"/>
        <v/>
      </c>
      <c r="I79" s="1222" t="str">
        <f t="shared" si="36"/>
        <v/>
      </c>
      <c r="J79" s="1222" t="str">
        <f t="shared" si="36"/>
        <v/>
      </c>
      <c r="K79" s="1222" t="str">
        <f t="shared" si="36"/>
        <v/>
      </c>
      <c r="L79" s="1222" t="str">
        <f t="shared" si="36"/>
        <v/>
      </c>
      <c r="M79" s="1859"/>
      <c r="N79" s="1861"/>
      <c r="O79" s="1861"/>
      <c r="P79" s="1863"/>
      <c r="Q79" s="1855"/>
      <c r="R79" s="1857"/>
      <c r="S79" s="1857"/>
      <c r="T79" s="1857"/>
      <c r="U79" s="1857"/>
      <c r="V79" s="1865"/>
      <c r="X79" s="1210" t="s">
        <v>388</v>
      </c>
      <c r="Y79" s="1221" t="str">
        <f>IF(OR(Y76&gt;0,Y77&gt;0,Y78&gt;0),1,"")</f>
        <v/>
      </c>
      <c r="Z79" s="1222" t="str">
        <f>IF(OR(Z76&gt;0,Z77&gt;0,Z78&gt;0),1,"")</f>
        <v/>
      </c>
      <c r="AA79" s="1222" t="str">
        <f t="shared" ref="AA79:AH79" si="37">IF(OR(AA76&gt;0,AA77&gt;0,AA78&gt;0),1,"")</f>
        <v/>
      </c>
      <c r="AB79" s="1222" t="str">
        <f t="shared" si="37"/>
        <v/>
      </c>
      <c r="AC79" s="1222" t="str">
        <f t="shared" si="37"/>
        <v/>
      </c>
      <c r="AD79" s="1222" t="str">
        <f t="shared" si="37"/>
        <v/>
      </c>
      <c r="AE79" s="1222" t="str">
        <f t="shared" si="37"/>
        <v/>
      </c>
      <c r="AF79" s="1222" t="str">
        <f t="shared" si="37"/>
        <v/>
      </c>
      <c r="AG79" s="1222" t="str">
        <f t="shared" si="37"/>
        <v/>
      </c>
      <c r="AH79" s="1222" t="str">
        <f t="shared" si="37"/>
        <v/>
      </c>
      <c r="AI79" s="1859"/>
      <c r="AJ79" s="1861"/>
      <c r="AK79" s="1861"/>
      <c r="AL79" s="1863"/>
      <c r="AM79" s="1855"/>
      <c r="AN79" s="1857"/>
      <c r="AO79" s="1857"/>
      <c r="AP79" s="1857"/>
      <c r="AQ79" s="1857"/>
      <c r="AR79" s="1865"/>
      <c r="AT79" s="1210" t="s">
        <v>388</v>
      </c>
      <c r="AU79" s="1221" t="str">
        <f>IF(OR(AU76&gt;0,AU77&gt;0,AU78&gt;0),1,"")</f>
        <v/>
      </c>
      <c r="AV79" s="1222" t="str">
        <f>IF(OR(AV76&gt;0,AV77&gt;0,AV78&gt;0),1,"")</f>
        <v/>
      </c>
      <c r="AW79" s="1222" t="str">
        <f t="shared" ref="AW79:BD79" si="38">IF(OR(AW76&gt;0,AW77&gt;0,AW78&gt;0),1,"")</f>
        <v/>
      </c>
      <c r="AX79" s="1222" t="str">
        <f t="shared" si="38"/>
        <v/>
      </c>
      <c r="AY79" s="1222" t="str">
        <f t="shared" si="38"/>
        <v/>
      </c>
      <c r="AZ79" s="1222" t="str">
        <f t="shared" si="38"/>
        <v/>
      </c>
      <c r="BA79" s="1222" t="str">
        <f t="shared" si="38"/>
        <v/>
      </c>
      <c r="BB79" s="1222" t="str">
        <f t="shared" si="38"/>
        <v/>
      </c>
      <c r="BC79" s="1222" t="str">
        <f t="shared" si="38"/>
        <v/>
      </c>
      <c r="BD79" s="1222" t="str">
        <f t="shared" si="38"/>
        <v/>
      </c>
      <c r="BE79" s="1859"/>
      <c r="BF79" s="1861"/>
      <c r="BG79" s="1861"/>
      <c r="BH79" s="1863"/>
      <c r="BI79" s="1855"/>
      <c r="BJ79" s="1857"/>
      <c r="BK79" s="1857"/>
      <c r="BL79" s="1857"/>
      <c r="BM79" s="1857"/>
      <c r="BN79" s="1865"/>
    </row>
    <row r="80" spans="2:66" ht="15" customHeight="1" thickTop="1">
      <c r="B80" s="1194" t="s">
        <v>387</v>
      </c>
      <c r="C80" s="1195"/>
      <c r="D80" s="1196"/>
      <c r="E80" s="1196"/>
      <c r="F80" s="1196"/>
      <c r="G80" s="1196"/>
      <c r="H80" s="1196"/>
      <c r="I80" s="1196"/>
      <c r="J80" s="1196"/>
      <c r="K80" s="1196"/>
      <c r="L80" s="1197"/>
      <c r="M80" s="1858">
        <f>SUM(C80:L80)</f>
        <v>0</v>
      </c>
      <c r="N80" s="1860">
        <f>SUM(C81:L81)</f>
        <v>0</v>
      </c>
      <c r="O80" s="1860">
        <f>SUM(C82:L82)</f>
        <v>0</v>
      </c>
      <c r="P80" s="1862">
        <f>SUM(C83:L83)</f>
        <v>0</v>
      </c>
      <c r="Q80" s="1854">
        <f>IF(G62="","",SUM(N80:P84))</f>
        <v>0</v>
      </c>
      <c r="R80" s="1856"/>
      <c r="S80" s="1856"/>
      <c r="T80" s="1856"/>
      <c r="U80" s="1856"/>
      <c r="V80" s="1864" t="s">
        <v>395</v>
      </c>
      <c r="X80" s="1194" t="s">
        <v>387</v>
      </c>
      <c r="Y80" s="1195"/>
      <c r="Z80" s="1196"/>
      <c r="AA80" s="1196"/>
      <c r="AB80" s="1196"/>
      <c r="AC80" s="1196"/>
      <c r="AD80" s="1196"/>
      <c r="AE80" s="1196"/>
      <c r="AF80" s="1196"/>
      <c r="AG80" s="1196"/>
      <c r="AH80" s="1197"/>
      <c r="AI80" s="1858">
        <f>SUM(Y80:AH80)</f>
        <v>0</v>
      </c>
      <c r="AJ80" s="1860">
        <f>SUM(Y81:AH81)</f>
        <v>0</v>
      </c>
      <c r="AK80" s="1860">
        <f>SUM(Y82:AH82)</f>
        <v>0</v>
      </c>
      <c r="AL80" s="1862">
        <f>SUM(Y83:AH83)</f>
        <v>0</v>
      </c>
      <c r="AM80" s="1854">
        <f>IF(AC62="","",SUM(AJ80:AL84))</f>
        <v>0</v>
      </c>
      <c r="AN80" s="1856"/>
      <c r="AO80" s="1856"/>
      <c r="AP80" s="1856"/>
      <c r="AQ80" s="1856"/>
      <c r="AR80" s="1864" t="s">
        <v>395</v>
      </c>
      <c r="AT80" s="1194" t="s">
        <v>387</v>
      </c>
      <c r="AU80" s="1195"/>
      <c r="AV80" s="1196"/>
      <c r="AW80" s="1196"/>
      <c r="AX80" s="1196"/>
      <c r="AY80" s="1196"/>
      <c r="AZ80" s="1196"/>
      <c r="BA80" s="1196"/>
      <c r="BB80" s="1196"/>
      <c r="BC80" s="1196"/>
      <c r="BD80" s="1197"/>
      <c r="BE80" s="1858">
        <f>SUM(AU80:BD80)</f>
        <v>0</v>
      </c>
      <c r="BF80" s="1860">
        <f>SUM(AU81:BD81)</f>
        <v>0</v>
      </c>
      <c r="BG80" s="1860">
        <f>SUM(AU82:BD82)</f>
        <v>0</v>
      </c>
      <c r="BH80" s="1862">
        <f>SUM(AU83:BD83)</f>
        <v>0</v>
      </c>
      <c r="BI80" s="1854">
        <f>IF(AY62="","",SUM(BF80:BH84))</f>
        <v>0</v>
      </c>
      <c r="BJ80" s="1856"/>
      <c r="BK80" s="1856"/>
      <c r="BL80" s="1856"/>
      <c r="BM80" s="1856"/>
      <c r="BN80" s="1864" t="s">
        <v>395</v>
      </c>
    </row>
    <row r="81" spans="2:66" ht="13.5">
      <c r="B81" s="1198" t="s">
        <v>383</v>
      </c>
      <c r="C81" s="1199"/>
      <c r="D81" s="1200"/>
      <c r="E81" s="1200"/>
      <c r="F81" s="1200"/>
      <c r="G81" s="1200"/>
      <c r="H81" s="1200"/>
      <c r="I81" s="1200"/>
      <c r="J81" s="1200"/>
      <c r="K81" s="1200"/>
      <c r="L81" s="1201"/>
      <c r="M81" s="1843"/>
      <c r="N81" s="1846"/>
      <c r="O81" s="1846"/>
      <c r="P81" s="1849"/>
      <c r="Q81" s="1852"/>
      <c r="R81" s="1840"/>
      <c r="S81" s="1840"/>
      <c r="T81" s="1840"/>
      <c r="U81" s="1840"/>
      <c r="V81" s="1837"/>
      <c r="X81" s="1198" t="s">
        <v>383</v>
      </c>
      <c r="Y81" s="1199"/>
      <c r="Z81" s="1200"/>
      <c r="AA81" s="1200"/>
      <c r="AB81" s="1200"/>
      <c r="AC81" s="1200"/>
      <c r="AD81" s="1200"/>
      <c r="AE81" s="1200"/>
      <c r="AF81" s="1200"/>
      <c r="AG81" s="1200"/>
      <c r="AH81" s="1201"/>
      <c r="AI81" s="1843"/>
      <c r="AJ81" s="1846"/>
      <c r="AK81" s="1846"/>
      <c r="AL81" s="1849"/>
      <c r="AM81" s="1852"/>
      <c r="AN81" s="1840"/>
      <c r="AO81" s="1840"/>
      <c r="AP81" s="1840"/>
      <c r="AQ81" s="1840"/>
      <c r="AR81" s="1837"/>
      <c r="AT81" s="1198" t="s">
        <v>383</v>
      </c>
      <c r="AU81" s="1199"/>
      <c r="AV81" s="1200"/>
      <c r="AW81" s="1200"/>
      <c r="AX81" s="1200"/>
      <c r="AY81" s="1200"/>
      <c r="AZ81" s="1200"/>
      <c r="BA81" s="1200"/>
      <c r="BB81" s="1200"/>
      <c r="BC81" s="1200"/>
      <c r="BD81" s="1201"/>
      <c r="BE81" s="1843"/>
      <c r="BF81" s="1846"/>
      <c r="BG81" s="1846"/>
      <c r="BH81" s="1849"/>
      <c r="BI81" s="1852"/>
      <c r="BJ81" s="1840"/>
      <c r="BK81" s="1840"/>
      <c r="BL81" s="1840"/>
      <c r="BM81" s="1840"/>
      <c r="BN81" s="1837"/>
    </row>
    <row r="82" spans="2:66" ht="13.5">
      <c r="B82" s="1202" t="s">
        <v>384</v>
      </c>
      <c r="C82" s="1203"/>
      <c r="D82" s="1204"/>
      <c r="E82" s="1204"/>
      <c r="F82" s="1204"/>
      <c r="G82" s="1204"/>
      <c r="H82" s="1204"/>
      <c r="I82" s="1204"/>
      <c r="J82" s="1204"/>
      <c r="K82" s="1204"/>
      <c r="L82" s="1205"/>
      <c r="M82" s="1843"/>
      <c r="N82" s="1846"/>
      <c r="O82" s="1846"/>
      <c r="P82" s="1849"/>
      <c r="Q82" s="1852"/>
      <c r="R82" s="1840"/>
      <c r="S82" s="1840"/>
      <c r="T82" s="1840"/>
      <c r="U82" s="1840"/>
      <c r="V82" s="1837"/>
      <c r="X82" s="1202" t="s">
        <v>384</v>
      </c>
      <c r="Y82" s="1203"/>
      <c r="Z82" s="1204"/>
      <c r="AA82" s="1204"/>
      <c r="AB82" s="1204"/>
      <c r="AC82" s="1204"/>
      <c r="AD82" s="1204"/>
      <c r="AE82" s="1204"/>
      <c r="AF82" s="1204"/>
      <c r="AG82" s="1204"/>
      <c r="AH82" s="1205"/>
      <c r="AI82" s="1843"/>
      <c r="AJ82" s="1846"/>
      <c r="AK82" s="1846"/>
      <c r="AL82" s="1849"/>
      <c r="AM82" s="1852"/>
      <c r="AN82" s="1840"/>
      <c r="AO82" s="1840"/>
      <c r="AP82" s="1840"/>
      <c r="AQ82" s="1840"/>
      <c r="AR82" s="1837"/>
      <c r="AT82" s="1202" t="s">
        <v>384</v>
      </c>
      <c r="AU82" s="1203"/>
      <c r="AV82" s="1204"/>
      <c r="AW82" s="1204"/>
      <c r="AX82" s="1204"/>
      <c r="AY82" s="1204"/>
      <c r="AZ82" s="1204"/>
      <c r="BA82" s="1204"/>
      <c r="BB82" s="1204"/>
      <c r="BC82" s="1204"/>
      <c r="BD82" s="1205"/>
      <c r="BE82" s="1843"/>
      <c r="BF82" s="1846"/>
      <c r="BG82" s="1846"/>
      <c r="BH82" s="1849"/>
      <c r="BI82" s="1852"/>
      <c r="BJ82" s="1840"/>
      <c r="BK82" s="1840"/>
      <c r="BL82" s="1840"/>
      <c r="BM82" s="1840"/>
      <c r="BN82" s="1837"/>
    </row>
    <row r="83" spans="2:66" ht="13.5">
      <c r="B83" s="1206" t="s">
        <v>385</v>
      </c>
      <c r="C83" s="1207"/>
      <c r="D83" s="1208"/>
      <c r="E83" s="1208"/>
      <c r="F83" s="1208"/>
      <c r="G83" s="1208"/>
      <c r="H83" s="1208"/>
      <c r="I83" s="1208"/>
      <c r="J83" s="1208"/>
      <c r="K83" s="1208"/>
      <c r="L83" s="1209"/>
      <c r="M83" s="1843"/>
      <c r="N83" s="1846"/>
      <c r="O83" s="1846"/>
      <c r="P83" s="1849"/>
      <c r="Q83" s="1852"/>
      <c r="R83" s="1840"/>
      <c r="S83" s="1840"/>
      <c r="T83" s="1840"/>
      <c r="U83" s="1840"/>
      <c r="V83" s="1837"/>
      <c r="X83" s="1206" t="s">
        <v>385</v>
      </c>
      <c r="Y83" s="1207"/>
      <c r="Z83" s="1208"/>
      <c r="AA83" s="1208"/>
      <c r="AB83" s="1208"/>
      <c r="AC83" s="1208"/>
      <c r="AD83" s="1208"/>
      <c r="AE83" s="1208"/>
      <c r="AF83" s="1208"/>
      <c r="AG83" s="1208"/>
      <c r="AH83" s="1209"/>
      <c r="AI83" s="1843"/>
      <c r="AJ83" s="1846"/>
      <c r="AK83" s="1846"/>
      <c r="AL83" s="1849"/>
      <c r="AM83" s="1852"/>
      <c r="AN83" s="1840"/>
      <c r="AO83" s="1840"/>
      <c r="AP83" s="1840"/>
      <c r="AQ83" s="1840"/>
      <c r="AR83" s="1837"/>
      <c r="AT83" s="1206" t="s">
        <v>385</v>
      </c>
      <c r="AU83" s="1207"/>
      <c r="AV83" s="1208"/>
      <c r="AW83" s="1208"/>
      <c r="AX83" s="1208"/>
      <c r="AY83" s="1208"/>
      <c r="AZ83" s="1208"/>
      <c r="BA83" s="1208"/>
      <c r="BB83" s="1208"/>
      <c r="BC83" s="1208"/>
      <c r="BD83" s="1209"/>
      <c r="BE83" s="1843"/>
      <c r="BF83" s="1846"/>
      <c r="BG83" s="1846"/>
      <c r="BH83" s="1849"/>
      <c r="BI83" s="1852"/>
      <c r="BJ83" s="1840"/>
      <c r="BK83" s="1840"/>
      <c r="BL83" s="1840"/>
      <c r="BM83" s="1840"/>
      <c r="BN83" s="1837"/>
    </row>
    <row r="84" spans="2:66" ht="14" thickBot="1">
      <c r="B84" s="1210" t="s">
        <v>388</v>
      </c>
      <c r="C84" s="1221" t="str">
        <f>IF(OR(C81&gt;0,C82&gt;0,C83&gt;0),1,"")</f>
        <v/>
      </c>
      <c r="D84" s="1222" t="str">
        <f>IF(OR(D81&gt;0,D82&gt;0,D83&gt;0),1,"")</f>
        <v/>
      </c>
      <c r="E84" s="1222" t="str">
        <f t="shared" ref="E84:L84" si="39">IF(OR(E81&gt;0,E82&gt;0,E83&gt;0),1,"")</f>
        <v/>
      </c>
      <c r="F84" s="1222" t="str">
        <f t="shared" si="39"/>
        <v/>
      </c>
      <c r="G84" s="1222" t="str">
        <f t="shared" si="39"/>
        <v/>
      </c>
      <c r="H84" s="1222" t="str">
        <f t="shared" si="39"/>
        <v/>
      </c>
      <c r="I84" s="1222" t="str">
        <f t="shared" si="39"/>
        <v/>
      </c>
      <c r="J84" s="1222" t="str">
        <f t="shared" si="39"/>
        <v/>
      </c>
      <c r="K84" s="1222" t="str">
        <f t="shared" si="39"/>
        <v/>
      </c>
      <c r="L84" s="1222" t="str">
        <f t="shared" si="39"/>
        <v/>
      </c>
      <c r="M84" s="1859"/>
      <c r="N84" s="1861"/>
      <c r="O84" s="1861"/>
      <c r="P84" s="1863"/>
      <c r="Q84" s="1855"/>
      <c r="R84" s="1857"/>
      <c r="S84" s="1857"/>
      <c r="T84" s="1857"/>
      <c r="U84" s="1857"/>
      <c r="V84" s="1865"/>
      <c r="X84" s="1210" t="s">
        <v>388</v>
      </c>
      <c r="Y84" s="1221" t="str">
        <f>IF(OR(Y81&gt;0,Y82&gt;0,Y83&gt;0),1,"")</f>
        <v/>
      </c>
      <c r="Z84" s="1222" t="str">
        <f>IF(OR(Z81&gt;0,Z82&gt;0,Z83&gt;0),1,"")</f>
        <v/>
      </c>
      <c r="AA84" s="1222" t="str">
        <f t="shared" ref="AA84:AH84" si="40">IF(OR(AA81&gt;0,AA82&gt;0,AA83&gt;0),1,"")</f>
        <v/>
      </c>
      <c r="AB84" s="1222" t="str">
        <f t="shared" si="40"/>
        <v/>
      </c>
      <c r="AC84" s="1222" t="str">
        <f t="shared" si="40"/>
        <v/>
      </c>
      <c r="AD84" s="1222" t="str">
        <f t="shared" si="40"/>
        <v/>
      </c>
      <c r="AE84" s="1222" t="str">
        <f t="shared" si="40"/>
        <v/>
      </c>
      <c r="AF84" s="1222" t="str">
        <f t="shared" si="40"/>
        <v/>
      </c>
      <c r="AG84" s="1222" t="str">
        <f t="shared" si="40"/>
        <v/>
      </c>
      <c r="AH84" s="1222" t="str">
        <f t="shared" si="40"/>
        <v/>
      </c>
      <c r="AI84" s="1859"/>
      <c r="AJ84" s="1861"/>
      <c r="AK84" s="1861"/>
      <c r="AL84" s="1863"/>
      <c r="AM84" s="1855"/>
      <c r="AN84" s="1857"/>
      <c r="AO84" s="1857"/>
      <c r="AP84" s="1857"/>
      <c r="AQ84" s="1857"/>
      <c r="AR84" s="1865"/>
      <c r="AT84" s="1210" t="s">
        <v>388</v>
      </c>
      <c r="AU84" s="1221" t="str">
        <f>IF(OR(AU81&gt;0,AU82&gt;0,AU83&gt;0),1,"")</f>
        <v/>
      </c>
      <c r="AV84" s="1222" t="str">
        <f>IF(OR(AV81&gt;0,AV82&gt;0,AV83&gt;0),1,"")</f>
        <v/>
      </c>
      <c r="AW84" s="1222" t="str">
        <f t="shared" ref="AW84:BD84" si="41">IF(OR(AW81&gt;0,AW82&gt;0,AW83&gt;0),1,"")</f>
        <v/>
      </c>
      <c r="AX84" s="1222" t="str">
        <f t="shared" si="41"/>
        <v/>
      </c>
      <c r="AY84" s="1222" t="str">
        <f t="shared" si="41"/>
        <v/>
      </c>
      <c r="AZ84" s="1222" t="str">
        <f t="shared" si="41"/>
        <v/>
      </c>
      <c r="BA84" s="1222" t="str">
        <f t="shared" si="41"/>
        <v/>
      </c>
      <c r="BB84" s="1222" t="str">
        <f t="shared" si="41"/>
        <v/>
      </c>
      <c r="BC84" s="1222" t="str">
        <f t="shared" si="41"/>
        <v/>
      </c>
      <c r="BD84" s="1222" t="str">
        <f t="shared" si="41"/>
        <v/>
      </c>
      <c r="BE84" s="1859"/>
      <c r="BF84" s="1861"/>
      <c r="BG84" s="1861"/>
      <c r="BH84" s="1863"/>
      <c r="BI84" s="1855"/>
      <c r="BJ84" s="1857"/>
      <c r="BK84" s="1857"/>
      <c r="BL84" s="1857"/>
      <c r="BM84" s="1857"/>
      <c r="BN84" s="1865"/>
    </row>
    <row r="85" spans="2:66" ht="15" customHeight="1" thickTop="1">
      <c r="B85" s="1194" t="s">
        <v>387</v>
      </c>
      <c r="C85" s="1195"/>
      <c r="D85" s="1196"/>
      <c r="E85" s="1196"/>
      <c r="F85" s="1196"/>
      <c r="G85" s="1196"/>
      <c r="H85" s="1196"/>
      <c r="I85" s="1196"/>
      <c r="J85" s="1196"/>
      <c r="K85" s="1196"/>
      <c r="L85" s="1197"/>
      <c r="M85" s="1842">
        <f>SUM(C85:L85)</f>
        <v>0</v>
      </c>
      <c r="N85" s="1845">
        <f>SUM(C86:L86)</f>
        <v>0</v>
      </c>
      <c r="O85" s="1845">
        <f>SUM(C87:L87)</f>
        <v>0</v>
      </c>
      <c r="P85" s="1848">
        <f>SUM(C88:L88)</f>
        <v>0</v>
      </c>
      <c r="Q85" s="1851">
        <f>IF(G62="","",SUM(N85:P89))</f>
        <v>0</v>
      </c>
      <c r="R85" s="1839"/>
      <c r="S85" s="1839"/>
      <c r="T85" s="1839"/>
      <c r="U85" s="1839"/>
      <c r="V85" s="1836" t="s">
        <v>395</v>
      </c>
      <c r="X85" s="1194" t="s">
        <v>387</v>
      </c>
      <c r="Y85" s="1195"/>
      <c r="Z85" s="1196"/>
      <c r="AA85" s="1196"/>
      <c r="AB85" s="1196"/>
      <c r="AC85" s="1196"/>
      <c r="AD85" s="1196"/>
      <c r="AE85" s="1196"/>
      <c r="AF85" s="1196"/>
      <c r="AG85" s="1196"/>
      <c r="AH85" s="1197"/>
      <c r="AI85" s="1842">
        <f>SUM(Y85:AH85)</f>
        <v>0</v>
      </c>
      <c r="AJ85" s="1845">
        <f>SUM(Y86:AH86)</f>
        <v>0</v>
      </c>
      <c r="AK85" s="1845">
        <f>SUM(Y87:AH87)</f>
        <v>0</v>
      </c>
      <c r="AL85" s="1848">
        <f>SUM(Y88:AH88)</f>
        <v>0</v>
      </c>
      <c r="AM85" s="1851">
        <f>IF(AC62="","",SUM(AJ85:AL89))</f>
        <v>0</v>
      </c>
      <c r="AN85" s="1839"/>
      <c r="AO85" s="1839"/>
      <c r="AP85" s="1839"/>
      <c r="AQ85" s="1839"/>
      <c r="AR85" s="1836" t="s">
        <v>395</v>
      </c>
      <c r="AT85" s="1194" t="s">
        <v>387</v>
      </c>
      <c r="AU85" s="1195"/>
      <c r="AV85" s="1196"/>
      <c r="AW85" s="1196"/>
      <c r="AX85" s="1196"/>
      <c r="AY85" s="1196"/>
      <c r="AZ85" s="1196"/>
      <c r="BA85" s="1196"/>
      <c r="BB85" s="1196"/>
      <c r="BC85" s="1196"/>
      <c r="BD85" s="1197"/>
      <c r="BE85" s="1842">
        <f>SUM(AU85:BD85)</f>
        <v>0</v>
      </c>
      <c r="BF85" s="1845">
        <f>SUM(AU86:BD86)</f>
        <v>0</v>
      </c>
      <c r="BG85" s="1845">
        <f>SUM(AU87:BD87)</f>
        <v>0</v>
      </c>
      <c r="BH85" s="1848">
        <f>SUM(AU88:BD88)</f>
        <v>0</v>
      </c>
      <c r="BI85" s="1851">
        <f>IF(AY62="","",SUM(BF85:BH89))</f>
        <v>0</v>
      </c>
      <c r="BJ85" s="1839"/>
      <c r="BK85" s="1839"/>
      <c r="BL85" s="1839"/>
      <c r="BM85" s="1839"/>
      <c r="BN85" s="1836" t="s">
        <v>395</v>
      </c>
    </row>
    <row r="86" spans="2:66" ht="13.5">
      <c r="B86" s="1198" t="s">
        <v>383</v>
      </c>
      <c r="C86" s="1199"/>
      <c r="D86" s="1200"/>
      <c r="E86" s="1200"/>
      <c r="F86" s="1200"/>
      <c r="G86" s="1200"/>
      <c r="H86" s="1200"/>
      <c r="I86" s="1200"/>
      <c r="J86" s="1200"/>
      <c r="K86" s="1200"/>
      <c r="L86" s="1201"/>
      <c r="M86" s="1843"/>
      <c r="N86" s="1846"/>
      <c r="O86" s="1846"/>
      <c r="P86" s="1849"/>
      <c r="Q86" s="1852"/>
      <c r="R86" s="1840"/>
      <c r="S86" s="1840"/>
      <c r="T86" s="1840"/>
      <c r="U86" s="1840"/>
      <c r="V86" s="1837"/>
      <c r="X86" s="1198" t="s">
        <v>383</v>
      </c>
      <c r="Y86" s="1199"/>
      <c r="Z86" s="1200"/>
      <c r="AA86" s="1200"/>
      <c r="AB86" s="1200"/>
      <c r="AC86" s="1200"/>
      <c r="AD86" s="1200"/>
      <c r="AE86" s="1200"/>
      <c r="AF86" s="1200"/>
      <c r="AG86" s="1200"/>
      <c r="AH86" s="1201"/>
      <c r="AI86" s="1843"/>
      <c r="AJ86" s="1846"/>
      <c r="AK86" s="1846"/>
      <c r="AL86" s="1849"/>
      <c r="AM86" s="1852"/>
      <c r="AN86" s="1840"/>
      <c r="AO86" s="1840"/>
      <c r="AP86" s="1840"/>
      <c r="AQ86" s="1840"/>
      <c r="AR86" s="1837"/>
      <c r="AT86" s="1198" t="s">
        <v>383</v>
      </c>
      <c r="AU86" s="1199"/>
      <c r="AV86" s="1200"/>
      <c r="AW86" s="1200"/>
      <c r="AX86" s="1200"/>
      <c r="AY86" s="1200"/>
      <c r="AZ86" s="1200"/>
      <c r="BA86" s="1200"/>
      <c r="BB86" s="1200"/>
      <c r="BC86" s="1200"/>
      <c r="BD86" s="1201"/>
      <c r="BE86" s="1843"/>
      <c r="BF86" s="1846"/>
      <c r="BG86" s="1846"/>
      <c r="BH86" s="1849"/>
      <c r="BI86" s="1852"/>
      <c r="BJ86" s="1840"/>
      <c r="BK86" s="1840"/>
      <c r="BL86" s="1840"/>
      <c r="BM86" s="1840"/>
      <c r="BN86" s="1837"/>
    </row>
    <row r="87" spans="2:66" ht="13.5">
      <c r="B87" s="1202" t="s">
        <v>384</v>
      </c>
      <c r="C87" s="1203"/>
      <c r="D87" s="1204"/>
      <c r="E87" s="1204"/>
      <c r="F87" s="1204"/>
      <c r="G87" s="1204"/>
      <c r="H87" s="1204"/>
      <c r="I87" s="1204"/>
      <c r="J87" s="1204"/>
      <c r="K87" s="1204"/>
      <c r="L87" s="1205"/>
      <c r="M87" s="1843"/>
      <c r="N87" s="1846"/>
      <c r="O87" s="1846"/>
      <c r="P87" s="1849"/>
      <c r="Q87" s="1852"/>
      <c r="R87" s="1840"/>
      <c r="S87" s="1840"/>
      <c r="T87" s="1840"/>
      <c r="U87" s="1840"/>
      <c r="V87" s="1837"/>
      <c r="X87" s="1202" t="s">
        <v>384</v>
      </c>
      <c r="Y87" s="1203"/>
      <c r="Z87" s="1204"/>
      <c r="AA87" s="1204"/>
      <c r="AB87" s="1204"/>
      <c r="AC87" s="1204"/>
      <c r="AD87" s="1204"/>
      <c r="AE87" s="1204"/>
      <c r="AF87" s="1204"/>
      <c r="AG87" s="1204"/>
      <c r="AH87" s="1205"/>
      <c r="AI87" s="1843"/>
      <c r="AJ87" s="1846"/>
      <c r="AK87" s="1846"/>
      <c r="AL87" s="1849"/>
      <c r="AM87" s="1852"/>
      <c r="AN87" s="1840"/>
      <c r="AO87" s="1840"/>
      <c r="AP87" s="1840"/>
      <c r="AQ87" s="1840"/>
      <c r="AR87" s="1837"/>
      <c r="AT87" s="1202" t="s">
        <v>384</v>
      </c>
      <c r="AU87" s="1203"/>
      <c r="AV87" s="1204"/>
      <c r="AW87" s="1204"/>
      <c r="AX87" s="1204"/>
      <c r="AY87" s="1204"/>
      <c r="AZ87" s="1204"/>
      <c r="BA87" s="1204"/>
      <c r="BB87" s="1204"/>
      <c r="BC87" s="1204"/>
      <c r="BD87" s="1205"/>
      <c r="BE87" s="1843"/>
      <c r="BF87" s="1846"/>
      <c r="BG87" s="1846"/>
      <c r="BH87" s="1849"/>
      <c r="BI87" s="1852"/>
      <c r="BJ87" s="1840"/>
      <c r="BK87" s="1840"/>
      <c r="BL87" s="1840"/>
      <c r="BM87" s="1840"/>
      <c r="BN87" s="1837"/>
    </row>
    <row r="88" spans="2:66" ht="13.5">
      <c r="B88" s="1206" t="s">
        <v>385</v>
      </c>
      <c r="C88" s="1207"/>
      <c r="D88" s="1208"/>
      <c r="E88" s="1208"/>
      <c r="F88" s="1208"/>
      <c r="G88" s="1208"/>
      <c r="H88" s="1208"/>
      <c r="I88" s="1208"/>
      <c r="J88" s="1208"/>
      <c r="K88" s="1208"/>
      <c r="L88" s="1209"/>
      <c r="M88" s="1843"/>
      <c r="N88" s="1846"/>
      <c r="O88" s="1846"/>
      <c r="P88" s="1849"/>
      <c r="Q88" s="1852"/>
      <c r="R88" s="1840"/>
      <c r="S88" s="1840"/>
      <c r="T88" s="1840"/>
      <c r="U88" s="1840"/>
      <c r="V88" s="1837"/>
      <c r="X88" s="1206" t="s">
        <v>385</v>
      </c>
      <c r="Y88" s="1207"/>
      <c r="Z88" s="1208"/>
      <c r="AA88" s="1208"/>
      <c r="AB88" s="1208"/>
      <c r="AC88" s="1208"/>
      <c r="AD88" s="1208"/>
      <c r="AE88" s="1208"/>
      <c r="AF88" s="1208"/>
      <c r="AG88" s="1208"/>
      <c r="AH88" s="1209"/>
      <c r="AI88" s="1843"/>
      <c r="AJ88" s="1846"/>
      <c r="AK88" s="1846"/>
      <c r="AL88" s="1849"/>
      <c r="AM88" s="1852"/>
      <c r="AN88" s="1840"/>
      <c r="AO88" s="1840"/>
      <c r="AP88" s="1840"/>
      <c r="AQ88" s="1840"/>
      <c r="AR88" s="1837"/>
      <c r="AT88" s="1206" t="s">
        <v>385</v>
      </c>
      <c r="AU88" s="1207"/>
      <c r="AV88" s="1208"/>
      <c r="AW88" s="1208"/>
      <c r="AX88" s="1208"/>
      <c r="AY88" s="1208"/>
      <c r="AZ88" s="1208"/>
      <c r="BA88" s="1208"/>
      <c r="BB88" s="1208"/>
      <c r="BC88" s="1208"/>
      <c r="BD88" s="1209"/>
      <c r="BE88" s="1843"/>
      <c r="BF88" s="1846"/>
      <c r="BG88" s="1846"/>
      <c r="BH88" s="1849"/>
      <c r="BI88" s="1852"/>
      <c r="BJ88" s="1840"/>
      <c r="BK88" s="1840"/>
      <c r="BL88" s="1840"/>
      <c r="BM88" s="1840"/>
      <c r="BN88" s="1837"/>
    </row>
    <row r="89" spans="2:66" ht="13.5">
      <c r="B89" s="1215" t="s">
        <v>388</v>
      </c>
      <c r="C89" s="1223" t="str">
        <f>IF(OR(C86&gt;0,C87&gt;0,C88&gt;0),1,"")</f>
        <v/>
      </c>
      <c r="D89" s="1224" t="str">
        <f>IF(OR(D86&gt;0,D87&gt;0,D88&gt;0),1,"")</f>
        <v/>
      </c>
      <c r="E89" s="1224" t="str">
        <f t="shared" ref="E89:L89" si="42">IF(OR(E86&gt;0,E87&gt;0,E88&gt;0),1,"")</f>
        <v/>
      </c>
      <c r="F89" s="1224" t="str">
        <f t="shared" si="42"/>
        <v/>
      </c>
      <c r="G89" s="1224" t="str">
        <f t="shared" si="42"/>
        <v/>
      </c>
      <c r="H89" s="1224" t="str">
        <f t="shared" si="42"/>
        <v/>
      </c>
      <c r="I89" s="1224" t="str">
        <f t="shared" si="42"/>
        <v/>
      </c>
      <c r="J89" s="1224" t="str">
        <f t="shared" si="42"/>
        <v/>
      </c>
      <c r="K89" s="1224" t="str">
        <f t="shared" si="42"/>
        <v/>
      </c>
      <c r="L89" s="1225" t="str">
        <f t="shared" si="42"/>
        <v/>
      </c>
      <c r="M89" s="1844"/>
      <c r="N89" s="1847"/>
      <c r="O89" s="1847"/>
      <c r="P89" s="1850"/>
      <c r="Q89" s="1853"/>
      <c r="R89" s="1841"/>
      <c r="S89" s="1841"/>
      <c r="T89" s="1841"/>
      <c r="U89" s="1841"/>
      <c r="V89" s="1838"/>
      <c r="X89" s="1215" t="s">
        <v>388</v>
      </c>
      <c r="Y89" s="1223" t="str">
        <f>IF(OR(Y86&gt;0,Y87&gt;0,Y88&gt;0),1,"")</f>
        <v/>
      </c>
      <c r="Z89" s="1224" t="str">
        <f>IF(OR(Z86&gt;0,Z87&gt;0,Z88&gt;0),1,"")</f>
        <v/>
      </c>
      <c r="AA89" s="1224" t="str">
        <f t="shared" ref="AA89:AH89" si="43">IF(OR(AA86&gt;0,AA87&gt;0,AA88&gt;0),1,"")</f>
        <v/>
      </c>
      <c r="AB89" s="1224" t="str">
        <f t="shared" si="43"/>
        <v/>
      </c>
      <c r="AC89" s="1224" t="str">
        <f t="shared" si="43"/>
        <v/>
      </c>
      <c r="AD89" s="1224" t="str">
        <f t="shared" si="43"/>
        <v/>
      </c>
      <c r="AE89" s="1224" t="str">
        <f t="shared" si="43"/>
        <v/>
      </c>
      <c r="AF89" s="1224" t="str">
        <f t="shared" si="43"/>
        <v/>
      </c>
      <c r="AG89" s="1224" t="str">
        <f t="shared" si="43"/>
        <v/>
      </c>
      <c r="AH89" s="1225" t="str">
        <f t="shared" si="43"/>
        <v/>
      </c>
      <c r="AI89" s="1844"/>
      <c r="AJ89" s="1847"/>
      <c r="AK89" s="1847"/>
      <c r="AL89" s="1850"/>
      <c r="AM89" s="1853"/>
      <c r="AN89" s="1841"/>
      <c r="AO89" s="1841"/>
      <c r="AP89" s="1841"/>
      <c r="AQ89" s="1841"/>
      <c r="AR89" s="1838"/>
      <c r="AT89" s="1215" t="s">
        <v>388</v>
      </c>
      <c r="AU89" s="1223" t="str">
        <f>IF(OR(AU86&gt;0,AU87&gt;0,AU88&gt;0),1,"")</f>
        <v/>
      </c>
      <c r="AV89" s="1224" t="str">
        <f>IF(OR(AV86&gt;0,AV87&gt;0,AV88&gt;0),1,"")</f>
        <v/>
      </c>
      <c r="AW89" s="1224" t="str">
        <f t="shared" ref="AW89:BD89" si="44">IF(OR(AW86&gt;0,AW87&gt;0,AW88&gt;0),1,"")</f>
        <v/>
      </c>
      <c r="AX89" s="1224" t="str">
        <f t="shared" si="44"/>
        <v/>
      </c>
      <c r="AY89" s="1224" t="str">
        <f t="shared" si="44"/>
        <v/>
      </c>
      <c r="AZ89" s="1224" t="str">
        <f t="shared" si="44"/>
        <v/>
      </c>
      <c r="BA89" s="1224" t="str">
        <f t="shared" si="44"/>
        <v/>
      </c>
      <c r="BB89" s="1224" t="str">
        <f t="shared" si="44"/>
        <v/>
      </c>
      <c r="BC89" s="1224" t="str">
        <f t="shared" si="44"/>
        <v/>
      </c>
      <c r="BD89" s="1225" t="str">
        <f t="shared" si="44"/>
        <v/>
      </c>
      <c r="BE89" s="1844"/>
      <c r="BF89" s="1847"/>
      <c r="BG89" s="1847"/>
      <c r="BH89" s="1850"/>
      <c r="BI89" s="1853"/>
      <c r="BJ89" s="1841"/>
      <c r="BK89" s="1841"/>
      <c r="BL89" s="1841"/>
      <c r="BM89" s="1841"/>
      <c r="BN89" s="1838"/>
    </row>
    <row r="90" spans="2:66">
      <c r="M90" s="1"/>
      <c r="N90" s="1"/>
      <c r="O90" s="1"/>
      <c r="P90" s="1"/>
      <c r="AI90" s="1"/>
      <c r="AJ90" s="1"/>
      <c r="AK90" s="1"/>
      <c r="AL90" s="1"/>
      <c r="BE90" s="1"/>
      <c r="BF90" s="1"/>
      <c r="BG90" s="1"/>
      <c r="BH90" s="1"/>
    </row>
    <row r="91" spans="2:66">
      <c r="B91" s="1175"/>
      <c r="C91" s="1176" t="s">
        <v>397</v>
      </c>
      <c r="D91" s="1217" t="s">
        <v>396</v>
      </c>
      <c r="E91" s="1177"/>
      <c r="F91" s="1177" t="s">
        <v>373</v>
      </c>
      <c r="G91" s="1178">
        <v>46118</v>
      </c>
      <c r="H91" s="1167"/>
      <c r="I91" s="1167"/>
      <c r="J91" s="1179"/>
      <c r="K91" s="1165"/>
      <c r="L91" s="1165"/>
      <c r="M91" s="1165"/>
      <c r="N91" s="1165"/>
      <c r="O91" s="1165"/>
      <c r="P91" s="1165"/>
      <c r="Q91" s="1165"/>
      <c r="R91" s="1165"/>
      <c r="S91" s="1165"/>
      <c r="T91" s="1165"/>
      <c r="U91" s="1165"/>
      <c r="V91" s="1165"/>
      <c r="X91" s="1175"/>
      <c r="Y91" s="1176" t="s">
        <v>397</v>
      </c>
      <c r="Z91" s="1217" t="s">
        <v>412</v>
      </c>
      <c r="AA91" s="1177"/>
      <c r="AB91" s="1177" t="s">
        <v>373</v>
      </c>
      <c r="AC91" s="1178">
        <v>46128</v>
      </c>
      <c r="AD91" s="1167"/>
      <c r="AE91" s="1167"/>
      <c r="AF91" s="1179" t="s">
        <v>374</v>
      </c>
      <c r="AG91" s="1165"/>
      <c r="AH91" s="1165"/>
      <c r="AI91" s="1165"/>
      <c r="AJ91" s="1165"/>
      <c r="AK91" s="1165"/>
      <c r="AL91" s="1165"/>
      <c r="AM91" s="1165"/>
      <c r="AN91" s="1165"/>
      <c r="AO91" s="1165"/>
      <c r="AP91" s="1165"/>
      <c r="AQ91" s="1165"/>
      <c r="AR91" s="1165"/>
      <c r="AT91" s="1175"/>
      <c r="AU91" s="1176" t="s">
        <v>397</v>
      </c>
      <c r="AV91" s="1217" t="s">
        <v>408</v>
      </c>
      <c r="AW91" s="1177"/>
      <c r="AX91" s="1177" t="s">
        <v>373</v>
      </c>
      <c r="AY91" s="1178">
        <v>46139</v>
      </c>
      <c r="AZ91" s="1167"/>
      <c r="BA91" s="1167"/>
      <c r="BB91" s="1179" t="s">
        <v>374</v>
      </c>
      <c r="BC91" s="1165"/>
      <c r="BD91" s="1165"/>
      <c r="BE91" s="1165"/>
      <c r="BF91" s="1165"/>
      <c r="BG91" s="1165"/>
      <c r="BH91" s="1165"/>
      <c r="BI91" s="1165"/>
      <c r="BJ91" s="1165"/>
      <c r="BK91" s="1165"/>
      <c r="BL91" s="1165"/>
      <c r="BM91" s="1165"/>
      <c r="BN91" s="1165"/>
    </row>
    <row r="92" spans="2:66" ht="15.75" customHeight="1">
      <c r="B92" s="1180" t="s">
        <v>375</v>
      </c>
      <c r="C92" s="1181"/>
      <c r="D92" s="1220">
        <f>IF(J92="",#N/A,SUM(C98:L98,C103:L103,C108:L108,C113:L113,C118:L118))</f>
        <v>2</v>
      </c>
      <c r="E92" s="1183" t="s">
        <v>376</v>
      </c>
      <c r="F92" s="1184" t="s">
        <v>377</v>
      </c>
      <c r="G92" s="1181"/>
      <c r="H92" s="1182" t="s">
        <v>378</v>
      </c>
      <c r="I92" s="1181"/>
      <c r="J92" s="1220">
        <f>IF(AND(Q94="",Q99="",Q104="",Q109="",Q114=""),"",SUM(Q94:Q117))</f>
        <v>5</v>
      </c>
      <c r="K92" s="1183" t="s">
        <v>379</v>
      </c>
      <c r="L92" s="1185" t="s">
        <v>377</v>
      </c>
      <c r="M92" s="1866" t="s">
        <v>380</v>
      </c>
      <c r="N92" s="1867"/>
      <c r="O92" s="1867"/>
      <c r="P92" s="1867"/>
      <c r="Q92" s="1868"/>
      <c r="R92" s="1869" t="s">
        <v>389</v>
      </c>
      <c r="S92" s="1869" t="s">
        <v>390</v>
      </c>
      <c r="T92" s="1869" t="s">
        <v>391</v>
      </c>
      <c r="U92" s="1869" t="s">
        <v>392</v>
      </c>
      <c r="V92" s="1871" t="s">
        <v>393</v>
      </c>
      <c r="X92" s="1180" t="s">
        <v>375</v>
      </c>
      <c r="Y92" s="1181"/>
      <c r="Z92" s="1220">
        <f>IF(AF92="",#N/A,SUM(Y98:AH98,Y103:AH103,Y108:AH108,Y113:AH113,Y118:AH118))</f>
        <v>2</v>
      </c>
      <c r="AA92" s="1183" t="s">
        <v>376</v>
      </c>
      <c r="AB92" s="1184" t="s">
        <v>377</v>
      </c>
      <c r="AC92" s="1181"/>
      <c r="AD92" s="1182" t="s">
        <v>378</v>
      </c>
      <c r="AE92" s="1181"/>
      <c r="AF92" s="1220">
        <f>IF(AND(AM94="",AM99="",AM104="",AM109="",AM114=""),"",SUM(AM94:AM117))</f>
        <v>3</v>
      </c>
      <c r="AG92" s="1183" t="s">
        <v>379</v>
      </c>
      <c r="AH92" s="1185" t="s">
        <v>377</v>
      </c>
      <c r="AI92" s="1866" t="s">
        <v>380</v>
      </c>
      <c r="AJ92" s="1867"/>
      <c r="AK92" s="1867"/>
      <c r="AL92" s="1867"/>
      <c r="AM92" s="1868"/>
      <c r="AN92" s="1869" t="s">
        <v>389</v>
      </c>
      <c r="AO92" s="1869" t="s">
        <v>390</v>
      </c>
      <c r="AP92" s="1869" t="s">
        <v>391</v>
      </c>
      <c r="AQ92" s="1869" t="s">
        <v>392</v>
      </c>
      <c r="AR92" s="1871" t="s">
        <v>393</v>
      </c>
      <c r="AT92" s="1180" t="s">
        <v>375</v>
      </c>
      <c r="AU92" s="1181"/>
      <c r="AV92" s="1220">
        <f>IF(BB92="",#N/A,SUM(AU98:BD98,AU103:BD103,AU108:BD108,AU113:BD113,AU118:BD118))</f>
        <v>0</v>
      </c>
      <c r="AW92" s="1183" t="s">
        <v>376</v>
      </c>
      <c r="AX92" s="1184" t="s">
        <v>377</v>
      </c>
      <c r="AY92" s="1181"/>
      <c r="AZ92" s="1182" t="s">
        <v>378</v>
      </c>
      <c r="BA92" s="1181"/>
      <c r="BB92" s="1220">
        <f>IF(AND(BI94="",BI99="",BI104="",BI109="",BI114=""),"",SUM(BI94:BI117))</f>
        <v>0</v>
      </c>
      <c r="BC92" s="1183" t="s">
        <v>379</v>
      </c>
      <c r="BD92" s="1185" t="s">
        <v>377</v>
      </c>
      <c r="BE92" s="1866" t="s">
        <v>380</v>
      </c>
      <c r="BF92" s="1867"/>
      <c r="BG92" s="1867"/>
      <c r="BH92" s="1867"/>
      <c r="BI92" s="1868"/>
      <c r="BJ92" s="1869" t="s">
        <v>389</v>
      </c>
      <c r="BK92" s="1869" t="s">
        <v>390</v>
      </c>
      <c r="BL92" s="1869" t="s">
        <v>391</v>
      </c>
      <c r="BM92" s="1869" t="s">
        <v>392</v>
      </c>
      <c r="BN92" s="1871" t="s">
        <v>393</v>
      </c>
    </row>
    <row r="93" spans="2:66" ht="13.5">
      <c r="B93" s="1186" t="s">
        <v>381</v>
      </c>
      <c r="C93" s="1187">
        <v>1</v>
      </c>
      <c r="D93" s="1218">
        <v>2</v>
      </c>
      <c r="E93" s="1188">
        <v>3</v>
      </c>
      <c r="F93" s="1188">
        <v>4</v>
      </c>
      <c r="G93" s="1188">
        <v>5</v>
      </c>
      <c r="H93" s="1188">
        <v>6</v>
      </c>
      <c r="I93" s="1218">
        <v>7</v>
      </c>
      <c r="J93" s="1218">
        <v>8</v>
      </c>
      <c r="K93" s="1218">
        <v>9</v>
      </c>
      <c r="L93" s="1219">
        <v>10</v>
      </c>
      <c r="M93" s="1189" t="s">
        <v>382</v>
      </c>
      <c r="N93" s="1190" t="s">
        <v>383</v>
      </c>
      <c r="O93" s="1191" t="s">
        <v>384</v>
      </c>
      <c r="P93" s="1192" t="s">
        <v>385</v>
      </c>
      <c r="Q93" s="1193" t="s">
        <v>386</v>
      </c>
      <c r="R93" s="1870"/>
      <c r="S93" s="1870"/>
      <c r="T93" s="1870"/>
      <c r="U93" s="1870"/>
      <c r="V93" s="1872"/>
      <c r="X93" s="1186" t="s">
        <v>381</v>
      </c>
      <c r="Y93" s="1187">
        <v>1</v>
      </c>
      <c r="Z93" s="1218">
        <v>2</v>
      </c>
      <c r="AA93" s="1188">
        <v>3</v>
      </c>
      <c r="AB93" s="1188">
        <v>4</v>
      </c>
      <c r="AC93" s="1188">
        <v>5</v>
      </c>
      <c r="AD93" s="1188">
        <v>6</v>
      </c>
      <c r="AE93" s="1218">
        <v>7</v>
      </c>
      <c r="AF93" s="1218">
        <v>8</v>
      </c>
      <c r="AG93" s="1218">
        <v>9</v>
      </c>
      <c r="AH93" s="1219">
        <v>10</v>
      </c>
      <c r="AI93" s="1189" t="s">
        <v>382</v>
      </c>
      <c r="AJ93" s="1190" t="s">
        <v>383</v>
      </c>
      <c r="AK93" s="1191" t="s">
        <v>384</v>
      </c>
      <c r="AL93" s="1192" t="s">
        <v>385</v>
      </c>
      <c r="AM93" s="1193" t="s">
        <v>386</v>
      </c>
      <c r="AN93" s="1870"/>
      <c r="AO93" s="1870"/>
      <c r="AP93" s="1870"/>
      <c r="AQ93" s="1870"/>
      <c r="AR93" s="1872"/>
      <c r="AT93" s="1186" t="s">
        <v>381</v>
      </c>
      <c r="AU93" s="1187">
        <v>1</v>
      </c>
      <c r="AV93" s="1218">
        <v>2</v>
      </c>
      <c r="AW93" s="1188">
        <v>3</v>
      </c>
      <c r="AX93" s="1188">
        <v>4</v>
      </c>
      <c r="AY93" s="1188">
        <v>5</v>
      </c>
      <c r="AZ93" s="1188">
        <v>6</v>
      </c>
      <c r="BA93" s="1218">
        <v>7</v>
      </c>
      <c r="BB93" s="1218">
        <v>8</v>
      </c>
      <c r="BC93" s="1218">
        <v>9</v>
      </c>
      <c r="BD93" s="1219">
        <v>10</v>
      </c>
      <c r="BE93" s="1189" t="s">
        <v>382</v>
      </c>
      <c r="BF93" s="1190" t="s">
        <v>383</v>
      </c>
      <c r="BG93" s="1191" t="s">
        <v>384</v>
      </c>
      <c r="BH93" s="1192" t="s">
        <v>385</v>
      </c>
      <c r="BI93" s="1193" t="s">
        <v>386</v>
      </c>
      <c r="BJ93" s="1870"/>
      <c r="BK93" s="1870"/>
      <c r="BL93" s="1870"/>
      <c r="BM93" s="1870"/>
      <c r="BN93" s="1872"/>
    </row>
    <row r="94" spans="2:66" ht="14.25" customHeight="1">
      <c r="B94" s="1194" t="s">
        <v>387</v>
      </c>
      <c r="C94" s="1195">
        <v>3</v>
      </c>
      <c r="D94" s="1196">
        <v>0</v>
      </c>
      <c r="E94" s="1196"/>
      <c r="F94" s="1196"/>
      <c r="G94" s="1196"/>
      <c r="H94" s="1196"/>
      <c r="I94" s="1196"/>
      <c r="J94" s="1196"/>
      <c r="K94" s="1196"/>
      <c r="L94" s="1197"/>
      <c r="M94" s="1858">
        <f>SUM(C94:L94)</f>
        <v>3</v>
      </c>
      <c r="N94" s="1860">
        <f>SUM(C95:L95)</f>
        <v>4</v>
      </c>
      <c r="O94" s="1860">
        <f>SUM(C96:L96)</f>
        <v>0</v>
      </c>
      <c r="P94" s="1862">
        <f>SUM(C97:L97)</f>
        <v>1</v>
      </c>
      <c r="Q94" s="1854">
        <f>IF(G91="","",SUM(N94:P98))</f>
        <v>5</v>
      </c>
      <c r="R94" s="1856"/>
      <c r="S94" s="1856"/>
      <c r="T94" s="1856"/>
      <c r="U94" s="1856"/>
      <c r="V94" s="1864" t="s">
        <v>394</v>
      </c>
      <c r="X94" s="1194" t="s">
        <v>387</v>
      </c>
      <c r="Y94" s="1195"/>
      <c r="Z94" s="1196"/>
      <c r="AA94" s="1196"/>
      <c r="AB94" s="1196"/>
      <c r="AC94" s="1196"/>
      <c r="AD94" s="1196"/>
      <c r="AE94" s="1196"/>
      <c r="AF94" s="1196"/>
      <c r="AG94" s="1196"/>
      <c r="AH94" s="1197"/>
      <c r="AI94" s="1858">
        <f>SUM(Y94:AH94)</f>
        <v>0</v>
      </c>
      <c r="AJ94" s="1860">
        <f>SUM(Y95:AH95)</f>
        <v>0</v>
      </c>
      <c r="AK94" s="1860">
        <f>SUM(Y96:AH96)</f>
        <v>1</v>
      </c>
      <c r="AL94" s="1862">
        <f>SUM(Y97:AH97)</f>
        <v>1</v>
      </c>
      <c r="AM94" s="1854">
        <f>IF(AC91="","",SUM(AJ94:AL98))</f>
        <v>2</v>
      </c>
      <c r="AN94" s="1856"/>
      <c r="AO94" s="1856"/>
      <c r="AP94" s="1856"/>
      <c r="AQ94" s="1856"/>
      <c r="AR94" s="1864" t="s">
        <v>394</v>
      </c>
      <c r="AT94" s="1194" t="s">
        <v>387</v>
      </c>
      <c r="AU94" s="1195">
        <v>0</v>
      </c>
      <c r="AV94" s="1196"/>
      <c r="AW94" s="1196"/>
      <c r="AX94" s="1196"/>
      <c r="AY94" s="1196"/>
      <c r="AZ94" s="1196"/>
      <c r="BA94" s="1196"/>
      <c r="BB94" s="1196"/>
      <c r="BC94" s="1196"/>
      <c r="BD94" s="1197"/>
      <c r="BE94" s="1858">
        <f>SUM(AU94:BD94)</f>
        <v>0</v>
      </c>
      <c r="BF94" s="1860">
        <f>SUM(AU95:BD95)</f>
        <v>0</v>
      </c>
      <c r="BG94" s="1860">
        <f>SUM(AU96:BD96)</f>
        <v>0</v>
      </c>
      <c r="BH94" s="1862">
        <f>SUM(AU97:BD97)</f>
        <v>0</v>
      </c>
      <c r="BI94" s="1854">
        <f>IF(AY91="","",SUM(BF94:BH98))</f>
        <v>0</v>
      </c>
      <c r="BJ94" s="1856"/>
      <c r="BK94" s="1856"/>
      <c r="BL94" s="1856"/>
      <c r="BM94" s="1856"/>
      <c r="BN94" s="1864" t="s">
        <v>394</v>
      </c>
    </row>
    <row r="95" spans="2:66" ht="13.5">
      <c r="B95" s="1198" t="s">
        <v>383</v>
      </c>
      <c r="C95" s="1199">
        <v>4</v>
      </c>
      <c r="D95" s="1200">
        <v>0</v>
      </c>
      <c r="E95" s="1200"/>
      <c r="F95" s="1200"/>
      <c r="G95" s="1200"/>
      <c r="H95" s="1200"/>
      <c r="I95" s="1200"/>
      <c r="J95" s="1200"/>
      <c r="K95" s="1200"/>
      <c r="L95" s="1201"/>
      <c r="M95" s="1843"/>
      <c r="N95" s="1846"/>
      <c r="O95" s="1846"/>
      <c r="P95" s="1849"/>
      <c r="Q95" s="1852"/>
      <c r="R95" s="1840"/>
      <c r="S95" s="1840"/>
      <c r="T95" s="1840"/>
      <c r="U95" s="1840"/>
      <c r="V95" s="1837"/>
      <c r="X95" s="1198" t="s">
        <v>383</v>
      </c>
      <c r="Y95" s="1199"/>
      <c r="Z95" s="1200"/>
      <c r="AA95" s="1200"/>
      <c r="AB95" s="1200"/>
      <c r="AC95" s="1200"/>
      <c r="AD95" s="1200"/>
      <c r="AE95" s="1200"/>
      <c r="AF95" s="1200"/>
      <c r="AG95" s="1200"/>
      <c r="AH95" s="1201"/>
      <c r="AI95" s="1843"/>
      <c r="AJ95" s="1846"/>
      <c r="AK95" s="1846"/>
      <c r="AL95" s="1849"/>
      <c r="AM95" s="1852"/>
      <c r="AN95" s="1840"/>
      <c r="AO95" s="1840"/>
      <c r="AP95" s="1840"/>
      <c r="AQ95" s="1840"/>
      <c r="AR95" s="1837"/>
      <c r="AT95" s="1198" t="s">
        <v>383</v>
      </c>
      <c r="AU95" s="1199">
        <v>0</v>
      </c>
      <c r="AV95" s="1200"/>
      <c r="AW95" s="1200"/>
      <c r="AX95" s="1200"/>
      <c r="AY95" s="1200"/>
      <c r="AZ95" s="1200"/>
      <c r="BA95" s="1200"/>
      <c r="BB95" s="1200"/>
      <c r="BC95" s="1200"/>
      <c r="BD95" s="1201"/>
      <c r="BE95" s="1843"/>
      <c r="BF95" s="1846"/>
      <c r="BG95" s="1846"/>
      <c r="BH95" s="1849"/>
      <c r="BI95" s="1852"/>
      <c r="BJ95" s="1840"/>
      <c r="BK95" s="1840"/>
      <c r="BL95" s="1840"/>
      <c r="BM95" s="1840"/>
      <c r="BN95" s="1837"/>
    </row>
    <row r="96" spans="2:66" ht="13.5">
      <c r="B96" s="1202" t="s">
        <v>384</v>
      </c>
      <c r="C96" s="1203"/>
      <c r="D96" s="1204"/>
      <c r="E96" s="1204"/>
      <c r="F96" s="1204"/>
      <c r="G96" s="1204"/>
      <c r="H96" s="1204"/>
      <c r="I96" s="1204"/>
      <c r="J96" s="1204"/>
      <c r="K96" s="1204"/>
      <c r="L96" s="1205"/>
      <c r="M96" s="1843"/>
      <c r="N96" s="1846"/>
      <c r="O96" s="1846"/>
      <c r="P96" s="1849"/>
      <c r="Q96" s="1852"/>
      <c r="R96" s="1840"/>
      <c r="S96" s="1840"/>
      <c r="T96" s="1840"/>
      <c r="U96" s="1840"/>
      <c r="V96" s="1837"/>
      <c r="X96" s="1202" t="s">
        <v>384</v>
      </c>
      <c r="Y96" s="1203">
        <v>1</v>
      </c>
      <c r="Z96" s="1204"/>
      <c r="AA96" s="1204"/>
      <c r="AB96" s="1204"/>
      <c r="AC96" s="1204"/>
      <c r="AD96" s="1204"/>
      <c r="AE96" s="1204"/>
      <c r="AF96" s="1204"/>
      <c r="AG96" s="1204"/>
      <c r="AH96" s="1205"/>
      <c r="AI96" s="1843"/>
      <c r="AJ96" s="1846"/>
      <c r="AK96" s="1846"/>
      <c r="AL96" s="1849"/>
      <c r="AM96" s="1852"/>
      <c r="AN96" s="1840"/>
      <c r="AO96" s="1840"/>
      <c r="AP96" s="1840"/>
      <c r="AQ96" s="1840"/>
      <c r="AR96" s="1837"/>
      <c r="AT96" s="1202" t="s">
        <v>384</v>
      </c>
      <c r="AU96" s="1203">
        <v>0</v>
      </c>
      <c r="AV96" s="1204"/>
      <c r="AW96" s="1204"/>
      <c r="AX96" s="1204"/>
      <c r="AY96" s="1204"/>
      <c r="AZ96" s="1204"/>
      <c r="BA96" s="1204"/>
      <c r="BB96" s="1204"/>
      <c r="BC96" s="1204"/>
      <c r="BD96" s="1205"/>
      <c r="BE96" s="1843"/>
      <c r="BF96" s="1846"/>
      <c r="BG96" s="1846"/>
      <c r="BH96" s="1849"/>
      <c r="BI96" s="1852"/>
      <c r="BJ96" s="1840"/>
      <c r="BK96" s="1840"/>
      <c r="BL96" s="1840"/>
      <c r="BM96" s="1840"/>
      <c r="BN96" s="1837"/>
    </row>
    <row r="97" spans="2:66" ht="13.5">
      <c r="B97" s="1206" t="s">
        <v>385</v>
      </c>
      <c r="C97" s="1207">
        <v>0</v>
      </c>
      <c r="D97" s="1208">
        <v>1</v>
      </c>
      <c r="E97" s="1208"/>
      <c r="F97" s="1208"/>
      <c r="G97" s="1208"/>
      <c r="H97" s="1208"/>
      <c r="I97" s="1208"/>
      <c r="J97" s="1208"/>
      <c r="K97" s="1208"/>
      <c r="L97" s="1209"/>
      <c r="M97" s="1843"/>
      <c r="N97" s="1846"/>
      <c r="O97" s="1846"/>
      <c r="P97" s="1849"/>
      <c r="Q97" s="1852"/>
      <c r="R97" s="1840"/>
      <c r="S97" s="1840"/>
      <c r="T97" s="1840"/>
      <c r="U97" s="1840"/>
      <c r="V97" s="1837"/>
      <c r="X97" s="1206" t="s">
        <v>385</v>
      </c>
      <c r="Y97" s="1207">
        <v>1</v>
      </c>
      <c r="Z97" s="1208"/>
      <c r="AA97" s="1208"/>
      <c r="AB97" s="1208"/>
      <c r="AC97" s="1208"/>
      <c r="AD97" s="1208"/>
      <c r="AE97" s="1208"/>
      <c r="AF97" s="1208"/>
      <c r="AG97" s="1208"/>
      <c r="AH97" s="1209"/>
      <c r="AI97" s="1843"/>
      <c r="AJ97" s="1846"/>
      <c r="AK97" s="1846"/>
      <c r="AL97" s="1849"/>
      <c r="AM97" s="1852"/>
      <c r="AN97" s="1840"/>
      <c r="AO97" s="1840"/>
      <c r="AP97" s="1840"/>
      <c r="AQ97" s="1840"/>
      <c r="AR97" s="1837"/>
      <c r="AT97" s="1206" t="s">
        <v>385</v>
      </c>
      <c r="AU97" s="1207">
        <v>0</v>
      </c>
      <c r="AV97" s="1208"/>
      <c r="AW97" s="1208"/>
      <c r="AX97" s="1208"/>
      <c r="AY97" s="1208"/>
      <c r="AZ97" s="1208"/>
      <c r="BA97" s="1208"/>
      <c r="BB97" s="1208"/>
      <c r="BC97" s="1208"/>
      <c r="BD97" s="1209"/>
      <c r="BE97" s="1843"/>
      <c r="BF97" s="1846"/>
      <c r="BG97" s="1846"/>
      <c r="BH97" s="1849"/>
      <c r="BI97" s="1852"/>
      <c r="BJ97" s="1840"/>
      <c r="BK97" s="1840"/>
      <c r="BL97" s="1840"/>
      <c r="BM97" s="1840"/>
      <c r="BN97" s="1837"/>
    </row>
    <row r="98" spans="2:66" ht="14" thickBot="1">
      <c r="B98" s="1210" t="s">
        <v>388</v>
      </c>
      <c r="C98" s="1221">
        <f>IF(OR(C95&gt;0,C96&gt;0,C97&gt;0),1,"")</f>
        <v>1</v>
      </c>
      <c r="D98" s="1222">
        <f>IF(OR(D95&gt;0,D96&gt;0,D97&gt;0),1,"")</f>
        <v>1</v>
      </c>
      <c r="E98" s="1222" t="str">
        <f t="shared" ref="E98:L98" si="45">IF(OR(E95&gt;0,E96&gt;0,E97&gt;0),1,"")</f>
        <v/>
      </c>
      <c r="F98" s="1222" t="str">
        <f t="shared" si="45"/>
        <v/>
      </c>
      <c r="G98" s="1222" t="str">
        <f t="shared" si="45"/>
        <v/>
      </c>
      <c r="H98" s="1222" t="str">
        <f t="shared" si="45"/>
        <v/>
      </c>
      <c r="I98" s="1222" t="str">
        <f t="shared" si="45"/>
        <v/>
      </c>
      <c r="J98" s="1222" t="str">
        <f t="shared" si="45"/>
        <v/>
      </c>
      <c r="K98" s="1222" t="str">
        <f t="shared" si="45"/>
        <v/>
      </c>
      <c r="L98" s="1222" t="str">
        <f t="shared" si="45"/>
        <v/>
      </c>
      <c r="M98" s="1859"/>
      <c r="N98" s="1861"/>
      <c r="O98" s="1861"/>
      <c r="P98" s="1863"/>
      <c r="Q98" s="1855"/>
      <c r="R98" s="1857"/>
      <c r="S98" s="1857"/>
      <c r="T98" s="1857"/>
      <c r="U98" s="1857"/>
      <c r="V98" s="1865"/>
      <c r="X98" s="1210" t="s">
        <v>388</v>
      </c>
      <c r="Y98" s="1221">
        <f>IF(OR(Y95&gt;0,Y96&gt;0,Y97&gt;0),1,"")</f>
        <v>1</v>
      </c>
      <c r="Z98" s="1222" t="str">
        <f>IF(OR(Z95&gt;0,Z96&gt;0,Z97&gt;0),1,"")</f>
        <v/>
      </c>
      <c r="AA98" s="1222" t="str">
        <f t="shared" ref="AA98:AH98" si="46">IF(OR(AA95&gt;0,AA96&gt;0,AA97&gt;0),1,"")</f>
        <v/>
      </c>
      <c r="AB98" s="1222" t="str">
        <f t="shared" si="46"/>
        <v/>
      </c>
      <c r="AC98" s="1222" t="str">
        <f t="shared" si="46"/>
        <v/>
      </c>
      <c r="AD98" s="1222" t="str">
        <f t="shared" si="46"/>
        <v/>
      </c>
      <c r="AE98" s="1222" t="str">
        <f t="shared" si="46"/>
        <v/>
      </c>
      <c r="AF98" s="1222" t="str">
        <f t="shared" si="46"/>
        <v/>
      </c>
      <c r="AG98" s="1222" t="str">
        <f t="shared" si="46"/>
        <v/>
      </c>
      <c r="AH98" s="1222" t="str">
        <f t="shared" si="46"/>
        <v/>
      </c>
      <c r="AI98" s="1859"/>
      <c r="AJ98" s="1861"/>
      <c r="AK98" s="1861"/>
      <c r="AL98" s="1863"/>
      <c r="AM98" s="1855"/>
      <c r="AN98" s="1857"/>
      <c r="AO98" s="1857"/>
      <c r="AP98" s="1857"/>
      <c r="AQ98" s="1857"/>
      <c r="AR98" s="1865"/>
      <c r="AT98" s="1210" t="s">
        <v>388</v>
      </c>
      <c r="AU98" s="1221" t="str">
        <f>IF(OR(AU95&gt;0,AU96&gt;0,AU97&gt;0),1,"")</f>
        <v/>
      </c>
      <c r="AV98" s="1222" t="str">
        <f>IF(OR(AV95&gt;0,AV96&gt;0,AV97&gt;0),1,"")</f>
        <v/>
      </c>
      <c r="AW98" s="1222" t="str">
        <f t="shared" ref="AW98:BD98" si="47">IF(OR(AW95&gt;0,AW96&gt;0,AW97&gt;0),1,"")</f>
        <v/>
      </c>
      <c r="AX98" s="1222" t="str">
        <f t="shared" si="47"/>
        <v/>
      </c>
      <c r="AY98" s="1222" t="str">
        <f t="shared" si="47"/>
        <v/>
      </c>
      <c r="AZ98" s="1222" t="str">
        <f t="shared" si="47"/>
        <v/>
      </c>
      <c r="BA98" s="1222" t="str">
        <f t="shared" si="47"/>
        <v/>
      </c>
      <c r="BB98" s="1222" t="str">
        <f t="shared" si="47"/>
        <v/>
      </c>
      <c r="BC98" s="1222" t="str">
        <f t="shared" si="47"/>
        <v/>
      </c>
      <c r="BD98" s="1222" t="str">
        <f t="shared" si="47"/>
        <v/>
      </c>
      <c r="BE98" s="1859"/>
      <c r="BF98" s="1861"/>
      <c r="BG98" s="1861"/>
      <c r="BH98" s="1863"/>
      <c r="BI98" s="1855"/>
      <c r="BJ98" s="1857"/>
      <c r="BK98" s="1857"/>
      <c r="BL98" s="1857"/>
      <c r="BM98" s="1857"/>
      <c r="BN98" s="1865"/>
    </row>
    <row r="99" spans="2:66" ht="15" customHeight="1" thickTop="1">
      <c r="B99" s="1211" t="s">
        <v>387</v>
      </c>
      <c r="C99" s="1212"/>
      <c r="D99" s="1213"/>
      <c r="E99" s="1213"/>
      <c r="F99" s="1213"/>
      <c r="G99" s="1213"/>
      <c r="H99" s="1213"/>
      <c r="I99" s="1213"/>
      <c r="J99" s="1213"/>
      <c r="K99" s="1213"/>
      <c r="L99" s="1214"/>
      <c r="M99" s="1858">
        <f>SUM(C99:L99)</f>
        <v>0</v>
      </c>
      <c r="N99" s="1860">
        <f>SUM(C100:L100)</f>
        <v>0</v>
      </c>
      <c r="O99" s="1860">
        <f>SUM(C101:L101)</f>
        <v>0</v>
      </c>
      <c r="P99" s="1862">
        <f>SUM(C102:L102)</f>
        <v>0</v>
      </c>
      <c r="Q99" s="1854">
        <f>IF(G91="","",SUM(N99:P103))</f>
        <v>0</v>
      </c>
      <c r="R99" s="1856"/>
      <c r="S99" s="1856"/>
      <c r="T99" s="1856"/>
      <c r="U99" s="1856"/>
      <c r="V99" s="1864" t="s">
        <v>395</v>
      </c>
      <c r="X99" s="1211" t="s">
        <v>387</v>
      </c>
      <c r="Y99" s="1212">
        <v>1</v>
      </c>
      <c r="Z99" s="1213"/>
      <c r="AA99" s="1213"/>
      <c r="AB99" s="1213"/>
      <c r="AC99" s="1213"/>
      <c r="AD99" s="1213"/>
      <c r="AE99" s="1213"/>
      <c r="AF99" s="1213"/>
      <c r="AG99" s="1213"/>
      <c r="AH99" s="1214"/>
      <c r="AI99" s="1858">
        <f>SUM(Y99:AH99)</f>
        <v>1</v>
      </c>
      <c r="AJ99" s="1860">
        <f>SUM(Y100:AH100)</f>
        <v>0</v>
      </c>
      <c r="AK99" s="1860">
        <f>SUM(Y101:AH101)</f>
        <v>0</v>
      </c>
      <c r="AL99" s="1862">
        <f>SUM(Y102:AH102)</f>
        <v>1</v>
      </c>
      <c r="AM99" s="1854">
        <f>IF(AC91="","",SUM(AJ99:AL103))</f>
        <v>1</v>
      </c>
      <c r="AN99" s="1856"/>
      <c r="AO99" s="1856"/>
      <c r="AP99" s="1856"/>
      <c r="AQ99" s="1856"/>
      <c r="AR99" s="1864" t="s">
        <v>395</v>
      </c>
      <c r="AT99" s="1211" t="s">
        <v>387</v>
      </c>
      <c r="AU99" s="1212"/>
      <c r="AV99" s="1213"/>
      <c r="AW99" s="1213"/>
      <c r="AX99" s="1213"/>
      <c r="AY99" s="1213"/>
      <c r="AZ99" s="1213"/>
      <c r="BA99" s="1213"/>
      <c r="BB99" s="1213"/>
      <c r="BC99" s="1213"/>
      <c r="BD99" s="1214"/>
      <c r="BE99" s="1858">
        <f>SUM(AU99:BD99)</f>
        <v>0</v>
      </c>
      <c r="BF99" s="1860">
        <f>SUM(AU100:BD100)</f>
        <v>0</v>
      </c>
      <c r="BG99" s="1860">
        <f>SUM(AU101:BD101)</f>
        <v>0</v>
      </c>
      <c r="BH99" s="1862">
        <f>SUM(AU102:BD102)</f>
        <v>0</v>
      </c>
      <c r="BI99" s="1854">
        <f>IF(AY91="","",SUM(BF99:BH103))</f>
        <v>0</v>
      </c>
      <c r="BJ99" s="1856"/>
      <c r="BK99" s="1856"/>
      <c r="BL99" s="1856"/>
      <c r="BM99" s="1856"/>
      <c r="BN99" s="1864" t="s">
        <v>395</v>
      </c>
    </row>
    <row r="100" spans="2:66" ht="13.5">
      <c r="B100" s="1198" t="s">
        <v>383</v>
      </c>
      <c r="C100" s="1199"/>
      <c r="D100" s="1200"/>
      <c r="E100" s="1200"/>
      <c r="F100" s="1200"/>
      <c r="G100" s="1200"/>
      <c r="H100" s="1200"/>
      <c r="I100" s="1200"/>
      <c r="J100" s="1200"/>
      <c r="K100" s="1200"/>
      <c r="L100" s="1201"/>
      <c r="M100" s="1843"/>
      <c r="N100" s="1846"/>
      <c r="O100" s="1846"/>
      <c r="P100" s="1849"/>
      <c r="Q100" s="1852"/>
      <c r="R100" s="1840"/>
      <c r="S100" s="1840"/>
      <c r="T100" s="1840"/>
      <c r="U100" s="1840"/>
      <c r="V100" s="1837"/>
      <c r="X100" s="1198" t="s">
        <v>383</v>
      </c>
      <c r="Y100" s="1199"/>
      <c r="Z100" s="1200"/>
      <c r="AA100" s="1200"/>
      <c r="AB100" s="1200"/>
      <c r="AC100" s="1200"/>
      <c r="AD100" s="1200"/>
      <c r="AE100" s="1200"/>
      <c r="AF100" s="1200"/>
      <c r="AG100" s="1200"/>
      <c r="AH100" s="1201"/>
      <c r="AI100" s="1843"/>
      <c r="AJ100" s="1846"/>
      <c r="AK100" s="1846"/>
      <c r="AL100" s="1849"/>
      <c r="AM100" s="1852"/>
      <c r="AN100" s="1840"/>
      <c r="AO100" s="1840"/>
      <c r="AP100" s="1840"/>
      <c r="AQ100" s="1840"/>
      <c r="AR100" s="1837"/>
      <c r="AT100" s="1198" t="s">
        <v>383</v>
      </c>
      <c r="AU100" s="1199"/>
      <c r="AV100" s="1200"/>
      <c r="AW100" s="1200"/>
      <c r="AX100" s="1200"/>
      <c r="AY100" s="1200"/>
      <c r="AZ100" s="1200"/>
      <c r="BA100" s="1200"/>
      <c r="BB100" s="1200"/>
      <c r="BC100" s="1200"/>
      <c r="BD100" s="1201"/>
      <c r="BE100" s="1843"/>
      <c r="BF100" s="1846"/>
      <c r="BG100" s="1846"/>
      <c r="BH100" s="1849"/>
      <c r="BI100" s="1852"/>
      <c r="BJ100" s="1840"/>
      <c r="BK100" s="1840"/>
      <c r="BL100" s="1840"/>
      <c r="BM100" s="1840"/>
      <c r="BN100" s="1837"/>
    </row>
    <row r="101" spans="2:66" ht="13.5">
      <c r="B101" s="1202" t="s">
        <v>384</v>
      </c>
      <c r="C101" s="1203"/>
      <c r="D101" s="1204"/>
      <c r="E101" s="1204"/>
      <c r="F101" s="1204"/>
      <c r="G101" s="1204"/>
      <c r="H101" s="1204"/>
      <c r="I101" s="1204"/>
      <c r="J101" s="1204"/>
      <c r="K101" s="1204"/>
      <c r="L101" s="1205"/>
      <c r="M101" s="1843"/>
      <c r="N101" s="1846"/>
      <c r="O101" s="1846"/>
      <c r="P101" s="1849"/>
      <c r="Q101" s="1852"/>
      <c r="R101" s="1840"/>
      <c r="S101" s="1840"/>
      <c r="T101" s="1840"/>
      <c r="U101" s="1840"/>
      <c r="V101" s="1837"/>
      <c r="X101" s="1202" t="s">
        <v>384</v>
      </c>
      <c r="Y101" s="1203"/>
      <c r="Z101" s="1204"/>
      <c r="AA101" s="1204"/>
      <c r="AB101" s="1204"/>
      <c r="AC101" s="1204"/>
      <c r="AD101" s="1204"/>
      <c r="AE101" s="1204"/>
      <c r="AF101" s="1204"/>
      <c r="AG101" s="1204"/>
      <c r="AH101" s="1205"/>
      <c r="AI101" s="1843"/>
      <c r="AJ101" s="1846"/>
      <c r="AK101" s="1846"/>
      <c r="AL101" s="1849"/>
      <c r="AM101" s="1852"/>
      <c r="AN101" s="1840"/>
      <c r="AO101" s="1840"/>
      <c r="AP101" s="1840"/>
      <c r="AQ101" s="1840"/>
      <c r="AR101" s="1837"/>
      <c r="AT101" s="1202" t="s">
        <v>384</v>
      </c>
      <c r="AU101" s="1203"/>
      <c r="AV101" s="1204"/>
      <c r="AW101" s="1204"/>
      <c r="AX101" s="1204"/>
      <c r="AY101" s="1204"/>
      <c r="AZ101" s="1204"/>
      <c r="BA101" s="1204"/>
      <c r="BB101" s="1204"/>
      <c r="BC101" s="1204"/>
      <c r="BD101" s="1205"/>
      <c r="BE101" s="1843"/>
      <c r="BF101" s="1846"/>
      <c r="BG101" s="1846"/>
      <c r="BH101" s="1849"/>
      <c r="BI101" s="1852"/>
      <c r="BJ101" s="1840"/>
      <c r="BK101" s="1840"/>
      <c r="BL101" s="1840"/>
      <c r="BM101" s="1840"/>
      <c r="BN101" s="1837"/>
    </row>
    <row r="102" spans="2:66" ht="13.5">
      <c r="B102" s="1202" t="s">
        <v>385</v>
      </c>
      <c r="C102" s="1203"/>
      <c r="D102" s="1204"/>
      <c r="E102" s="1204"/>
      <c r="F102" s="1204"/>
      <c r="G102" s="1204"/>
      <c r="H102" s="1204"/>
      <c r="I102" s="1204"/>
      <c r="J102" s="1204"/>
      <c r="K102" s="1204"/>
      <c r="L102" s="1205"/>
      <c r="M102" s="1843"/>
      <c r="N102" s="1846"/>
      <c r="O102" s="1846"/>
      <c r="P102" s="1849"/>
      <c r="Q102" s="1852"/>
      <c r="R102" s="1840"/>
      <c r="S102" s="1840"/>
      <c r="T102" s="1840"/>
      <c r="U102" s="1840"/>
      <c r="V102" s="1837"/>
      <c r="X102" s="1202" t="s">
        <v>385</v>
      </c>
      <c r="Y102" s="1203">
        <v>1</v>
      </c>
      <c r="Z102" s="1204"/>
      <c r="AA102" s="1204"/>
      <c r="AB102" s="1204"/>
      <c r="AC102" s="1204"/>
      <c r="AD102" s="1204"/>
      <c r="AE102" s="1204"/>
      <c r="AF102" s="1204"/>
      <c r="AG102" s="1204"/>
      <c r="AH102" s="1205"/>
      <c r="AI102" s="1843"/>
      <c r="AJ102" s="1846"/>
      <c r="AK102" s="1846"/>
      <c r="AL102" s="1849"/>
      <c r="AM102" s="1852"/>
      <c r="AN102" s="1840"/>
      <c r="AO102" s="1840"/>
      <c r="AP102" s="1840"/>
      <c r="AQ102" s="1840"/>
      <c r="AR102" s="1837"/>
      <c r="AT102" s="1202" t="s">
        <v>385</v>
      </c>
      <c r="AU102" s="1203"/>
      <c r="AV102" s="1204"/>
      <c r="AW102" s="1204"/>
      <c r="AX102" s="1204"/>
      <c r="AY102" s="1204"/>
      <c r="AZ102" s="1204"/>
      <c r="BA102" s="1204"/>
      <c r="BB102" s="1204"/>
      <c r="BC102" s="1204"/>
      <c r="BD102" s="1205"/>
      <c r="BE102" s="1843"/>
      <c r="BF102" s="1846"/>
      <c r="BG102" s="1846"/>
      <c r="BH102" s="1849"/>
      <c r="BI102" s="1852"/>
      <c r="BJ102" s="1840"/>
      <c r="BK102" s="1840"/>
      <c r="BL102" s="1840"/>
      <c r="BM102" s="1840"/>
      <c r="BN102" s="1837"/>
    </row>
    <row r="103" spans="2:66" ht="14" thickBot="1">
      <c r="B103" s="1210" t="s">
        <v>388</v>
      </c>
      <c r="C103" s="1221" t="str">
        <f>IF(OR(C100&gt;0,C101&gt;0,C102&gt;0),1,"")</f>
        <v/>
      </c>
      <c r="D103" s="1222" t="str">
        <f>IF(OR(D100&gt;0,D101&gt;0,D102&gt;0),1,"")</f>
        <v/>
      </c>
      <c r="E103" s="1222" t="str">
        <f t="shared" ref="E103:L103" si="48">IF(OR(E100&gt;0,E101&gt;0,E102&gt;0),1,"")</f>
        <v/>
      </c>
      <c r="F103" s="1222" t="str">
        <f t="shared" si="48"/>
        <v/>
      </c>
      <c r="G103" s="1222" t="str">
        <f t="shared" si="48"/>
        <v/>
      </c>
      <c r="H103" s="1222" t="str">
        <f t="shared" si="48"/>
        <v/>
      </c>
      <c r="I103" s="1222" t="str">
        <f t="shared" si="48"/>
        <v/>
      </c>
      <c r="J103" s="1222" t="str">
        <f t="shared" si="48"/>
        <v/>
      </c>
      <c r="K103" s="1222" t="str">
        <f t="shared" si="48"/>
        <v/>
      </c>
      <c r="L103" s="1222" t="str">
        <f t="shared" si="48"/>
        <v/>
      </c>
      <c r="M103" s="1859"/>
      <c r="N103" s="1861"/>
      <c r="O103" s="1861"/>
      <c r="P103" s="1863"/>
      <c r="Q103" s="1855"/>
      <c r="R103" s="1857"/>
      <c r="S103" s="1857"/>
      <c r="T103" s="1857"/>
      <c r="U103" s="1857"/>
      <c r="V103" s="1865"/>
      <c r="X103" s="1210" t="s">
        <v>388</v>
      </c>
      <c r="Y103" s="1221">
        <f>IF(OR(Y100&gt;0,Y101&gt;0,Y102&gt;0),1,"")</f>
        <v>1</v>
      </c>
      <c r="Z103" s="1222" t="str">
        <f>IF(OR(Z100&gt;0,Z101&gt;0,Z102&gt;0),1,"")</f>
        <v/>
      </c>
      <c r="AA103" s="1222" t="str">
        <f t="shared" ref="AA103:AH103" si="49">IF(OR(AA100&gt;0,AA101&gt;0,AA102&gt;0),1,"")</f>
        <v/>
      </c>
      <c r="AB103" s="1222" t="str">
        <f t="shared" si="49"/>
        <v/>
      </c>
      <c r="AC103" s="1222" t="str">
        <f t="shared" si="49"/>
        <v/>
      </c>
      <c r="AD103" s="1222" t="str">
        <f t="shared" si="49"/>
        <v/>
      </c>
      <c r="AE103" s="1222" t="str">
        <f t="shared" si="49"/>
        <v/>
      </c>
      <c r="AF103" s="1222" t="str">
        <f t="shared" si="49"/>
        <v/>
      </c>
      <c r="AG103" s="1222" t="str">
        <f t="shared" si="49"/>
        <v/>
      </c>
      <c r="AH103" s="1222" t="str">
        <f t="shared" si="49"/>
        <v/>
      </c>
      <c r="AI103" s="1859"/>
      <c r="AJ103" s="1861"/>
      <c r="AK103" s="1861"/>
      <c r="AL103" s="1863"/>
      <c r="AM103" s="1855"/>
      <c r="AN103" s="1857"/>
      <c r="AO103" s="1857"/>
      <c r="AP103" s="1857"/>
      <c r="AQ103" s="1857"/>
      <c r="AR103" s="1865"/>
      <c r="AT103" s="1210" t="s">
        <v>388</v>
      </c>
      <c r="AU103" s="1221" t="str">
        <f>IF(OR(AU100&gt;0,AU101&gt;0,AU102&gt;0),1,"")</f>
        <v/>
      </c>
      <c r="AV103" s="1222" t="str">
        <f>IF(OR(AV100&gt;0,AV101&gt;0,AV102&gt;0),1,"")</f>
        <v/>
      </c>
      <c r="AW103" s="1222" t="str">
        <f t="shared" ref="AW103:BD103" si="50">IF(OR(AW100&gt;0,AW101&gt;0,AW102&gt;0),1,"")</f>
        <v/>
      </c>
      <c r="AX103" s="1222" t="str">
        <f t="shared" si="50"/>
        <v/>
      </c>
      <c r="AY103" s="1222" t="str">
        <f t="shared" si="50"/>
        <v/>
      </c>
      <c r="AZ103" s="1222" t="str">
        <f t="shared" si="50"/>
        <v/>
      </c>
      <c r="BA103" s="1222" t="str">
        <f t="shared" si="50"/>
        <v/>
      </c>
      <c r="BB103" s="1222" t="str">
        <f t="shared" si="50"/>
        <v/>
      </c>
      <c r="BC103" s="1222" t="str">
        <f t="shared" si="50"/>
        <v/>
      </c>
      <c r="BD103" s="1222" t="str">
        <f t="shared" si="50"/>
        <v/>
      </c>
      <c r="BE103" s="1859"/>
      <c r="BF103" s="1861"/>
      <c r="BG103" s="1861"/>
      <c r="BH103" s="1863"/>
      <c r="BI103" s="1855"/>
      <c r="BJ103" s="1857"/>
      <c r="BK103" s="1857"/>
      <c r="BL103" s="1857"/>
      <c r="BM103" s="1857"/>
      <c r="BN103" s="1865"/>
    </row>
    <row r="104" spans="2:66" ht="15" customHeight="1" thickTop="1">
      <c r="B104" s="1194" t="s">
        <v>387</v>
      </c>
      <c r="C104" s="1195"/>
      <c r="D104" s="1196"/>
      <c r="E104" s="1196"/>
      <c r="F104" s="1196"/>
      <c r="G104" s="1196"/>
      <c r="H104" s="1196"/>
      <c r="I104" s="1196"/>
      <c r="J104" s="1196"/>
      <c r="K104" s="1196"/>
      <c r="L104" s="1197"/>
      <c r="M104" s="1858">
        <f>SUM(C104:L104)</f>
        <v>0</v>
      </c>
      <c r="N104" s="1860">
        <f>SUM(C105:L105)</f>
        <v>0</v>
      </c>
      <c r="O104" s="1860">
        <f>SUM(C106:L106)</f>
        <v>0</v>
      </c>
      <c r="P104" s="1862">
        <f>SUM(C107:L107)</f>
        <v>0</v>
      </c>
      <c r="Q104" s="1854">
        <f>IF(G91="","",SUM(N104:P108))</f>
        <v>0</v>
      </c>
      <c r="R104" s="1856"/>
      <c r="S104" s="1856"/>
      <c r="T104" s="1856"/>
      <c r="U104" s="1856"/>
      <c r="V104" s="1864" t="s">
        <v>395</v>
      </c>
      <c r="X104" s="1194" t="s">
        <v>387</v>
      </c>
      <c r="Y104" s="1195"/>
      <c r="Z104" s="1196"/>
      <c r="AA104" s="1196"/>
      <c r="AB104" s="1196"/>
      <c r="AC104" s="1196"/>
      <c r="AD104" s="1196"/>
      <c r="AE104" s="1196"/>
      <c r="AF104" s="1196"/>
      <c r="AG104" s="1196"/>
      <c r="AH104" s="1197"/>
      <c r="AI104" s="1858">
        <f>SUM(Y104:AH104)</f>
        <v>0</v>
      </c>
      <c r="AJ104" s="1860">
        <f>SUM(Y105:AH105)</f>
        <v>0</v>
      </c>
      <c r="AK104" s="1860">
        <f>SUM(Y106:AH106)</f>
        <v>0</v>
      </c>
      <c r="AL104" s="1862">
        <f>SUM(Y107:AH107)</f>
        <v>0</v>
      </c>
      <c r="AM104" s="1854">
        <f>IF(AC91="","",SUM(AJ104:AL108))</f>
        <v>0</v>
      </c>
      <c r="AN104" s="1856"/>
      <c r="AO104" s="1856"/>
      <c r="AP104" s="1856"/>
      <c r="AQ104" s="1856"/>
      <c r="AR104" s="1864" t="s">
        <v>395</v>
      </c>
      <c r="AT104" s="1194" t="s">
        <v>387</v>
      </c>
      <c r="AU104" s="1195"/>
      <c r="AV104" s="1196"/>
      <c r="AW104" s="1196"/>
      <c r="AX104" s="1196"/>
      <c r="AY104" s="1196"/>
      <c r="AZ104" s="1196"/>
      <c r="BA104" s="1196"/>
      <c r="BB104" s="1196"/>
      <c r="BC104" s="1196"/>
      <c r="BD104" s="1197"/>
      <c r="BE104" s="1858">
        <f>SUM(AU104:BD104)</f>
        <v>0</v>
      </c>
      <c r="BF104" s="1860">
        <f>SUM(AU105:BD105)</f>
        <v>0</v>
      </c>
      <c r="BG104" s="1860">
        <f>SUM(AU106:BD106)</f>
        <v>0</v>
      </c>
      <c r="BH104" s="1862">
        <f>SUM(AU107:BD107)</f>
        <v>0</v>
      </c>
      <c r="BI104" s="1854">
        <f>IF(AY91="","",SUM(BF104:BH108))</f>
        <v>0</v>
      </c>
      <c r="BJ104" s="1856"/>
      <c r="BK104" s="1856"/>
      <c r="BL104" s="1856"/>
      <c r="BM104" s="1856"/>
      <c r="BN104" s="1864" t="s">
        <v>395</v>
      </c>
    </row>
    <row r="105" spans="2:66" ht="13.5">
      <c r="B105" s="1198" t="s">
        <v>383</v>
      </c>
      <c r="C105" s="1199"/>
      <c r="D105" s="1200"/>
      <c r="E105" s="1200"/>
      <c r="F105" s="1200"/>
      <c r="G105" s="1200"/>
      <c r="H105" s="1200"/>
      <c r="I105" s="1200"/>
      <c r="J105" s="1200"/>
      <c r="K105" s="1200"/>
      <c r="L105" s="1201"/>
      <c r="M105" s="1843"/>
      <c r="N105" s="1846"/>
      <c r="O105" s="1846"/>
      <c r="P105" s="1849"/>
      <c r="Q105" s="1852"/>
      <c r="R105" s="1840"/>
      <c r="S105" s="1840"/>
      <c r="T105" s="1840"/>
      <c r="U105" s="1840"/>
      <c r="V105" s="1837"/>
      <c r="X105" s="1198" t="s">
        <v>383</v>
      </c>
      <c r="Y105" s="1199"/>
      <c r="Z105" s="1200"/>
      <c r="AA105" s="1200"/>
      <c r="AB105" s="1200"/>
      <c r="AC105" s="1200"/>
      <c r="AD105" s="1200"/>
      <c r="AE105" s="1200"/>
      <c r="AF105" s="1200"/>
      <c r="AG105" s="1200"/>
      <c r="AH105" s="1201"/>
      <c r="AI105" s="1843"/>
      <c r="AJ105" s="1846"/>
      <c r="AK105" s="1846"/>
      <c r="AL105" s="1849"/>
      <c r="AM105" s="1852"/>
      <c r="AN105" s="1840"/>
      <c r="AO105" s="1840"/>
      <c r="AP105" s="1840"/>
      <c r="AQ105" s="1840"/>
      <c r="AR105" s="1837"/>
      <c r="AT105" s="1198" t="s">
        <v>383</v>
      </c>
      <c r="AU105" s="1199"/>
      <c r="AV105" s="1200"/>
      <c r="AW105" s="1200"/>
      <c r="AX105" s="1200"/>
      <c r="AY105" s="1200"/>
      <c r="AZ105" s="1200"/>
      <c r="BA105" s="1200"/>
      <c r="BB105" s="1200"/>
      <c r="BC105" s="1200"/>
      <c r="BD105" s="1201"/>
      <c r="BE105" s="1843"/>
      <c r="BF105" s="1846"/>
      <c r="BG105" s="1846"/>
      <c r="BH105" s="1849"/>
      <c r="BI105" s="1852"/>
      <c r="BJ105" s="1840"/>
      <c r="BK105" s="1840"/>
      <c r="BL105" s="1840"/>
      <c r="BM105" s="1840"/>
      <c r="BN105" s="1837"/>
    </row>
    <row r="106" spans="2:66" ht="13.5">
      <c r="B106" s="1202" t="s">
        <v>384</v>
      </c>
      <c r="C106" s="1203"/>
      <c r="D106" s="1204"/>
      <c r="E106" s="1204"/>
      <c r="F106" s="1204"/>
      <c r="G106" s="1204"/>
      <c r="H106" s="1204"/>
      <c r="I106" s="1204"/>
      <c r="J106" s="1204"/>
      <c r="K106" s="1204"/>
      <c r="L106" s="1205"/>
      <c r="M106" s="1843"/>
      <c r="N106" s="1846"/>
      <c r="O106" s="1846"/>
      <c r="P106" s="1849"/>
      <c r="Q106" s="1852"/>
      <c r="R106" s="1840"/>
      <c r="S106" s="1840"/>
      <c r="T106" s="1840"/>
      <c r="U106" s="1840"/>
      <c r="V106" s="1837"/>
      <c r="X106" s="1202" t="s">
        <v>384</v>
      </c>
      <c r="Y106" s="1203"/>
      <c r="Z106" s="1204"/>
      <c r="AA106" s="1204"/>
      <c r="AB106" s="1204"/>
      <c r="AC106" s="1204"/>
      <c r="AD106" s="1204"/>
      <c r="AE106" s="1204"/>
      <c r="AF106" s="1204"/>
      <c r="AG106" s="1204"/>
      <c r="AH106" s="1205"/>
      <c r="AI106" s="1843"/>
      <c r="AJ106" s="1846"/>
      <c r="AK106" s="1846"/>
      <c r="AL106" s="1849"/>
      <c r="AM106" s="1852"/>
      <c r="AN106" s="1840"/>
      <c r="AO106" s="1840"/>
      <c r="AP106" s="1840"/>
      <c r="AQ106" s="1840"/>
      <c r="AR106" s="1837"/>
      <c r="AT106" s="1202" t="s">
        <v>384</v>
      </c>
      <c r="AU106" s="1203"/>
      <c r="AV106" s="1204"/>
      <c r="AW106" s="1204"/>
      <c r="AX106" s="1204"/>
      <c r="AY106" s="1204"/>
      <c r="AZ106" s="1204"/>
      <c r="BA106" s="1204"/>
      <c r="BB106" s="1204"/>
      <c r="BC106" s="1204"/>
      <c r="BD106" s="1205"/>
      <c r="BE106" s="1843"/>
      <c r="BF106" s="1846"/>
      <c r="BG106" s="1846"/>
      <c r="BH106" s="1849"/>
      <c r="BI106" s="1852"/>
      <c r="BJ106" s="1840"/>
      <c r="BK106" s="1840"/>
      <c r="BL106" s="1840"/>
      <c r="BM106" s="1840"/>
      <c r="BN106" s="1837"/>
    </row>
    <row r="107" spans="2:66" ht="13.5">
      <c r="B107" s="1206" t="s">
        <v>385</v>
      </c>
      <c r="C107" s="1207"/>
      <c r="D107" s="1208"/>
      <c r="E107" s="1208"/>
      <c r="F107" s="1208"/>
      <c r="G107" s="1208"/>
      <c r="H107" s="1208"/>
      <c r="I107" s="1208"/>
      <c r="J107" s="1208"/>
      <c r="K107" s="1208"/>
      <c r="L107" s="1209"/>
      <c r="M107" s="1843"/>
      <c r="N107" s="1846"/>
      <c r="O107" s="1846"/>
      <c r="P107" s="1849"/>
      <c r="Q107" s="1852"/>
      <c r="R107" s="1840"/>
      <c r="S107" s="1840"/>
      <c r="T107" s="1840"/>
      <c r="U107" s="1840"/>
      <c r="V107" s="1837"/>
      <c r="X107" s="1206" t="s">
        <v>385</v>
      </c>
      <c r="Y107" s="1207"/>
      <c r="Z107" s="1208"/>
      <c r="AA107" s="1208"/>
      <c r="AB107" s="1208"/>
      <c r="AC107" s="1208"/>
      <c r="AD107" s="1208"/>
      <c r="AE107" s="1208"/>
      <c r="AF107" s="1208"/>
      <c r="AG107" s="1208"/>
      <c r="AH107" s="1209"/>
      <c r="AI107" s="1843"/>
      <c r="AJ107" s="1846"/>
      <c r="AK107" s="1846"/>
      <c r="AL107" s="1849"/>
      <c r="AM107" s="1852"/>
      <c r="AN107" s="1840"/>
      <c r="AO107" s="1840"/>
      <c r="AP107" s="1840"/>
      <c r="AQ107" s="1840"/>
      <c r="AR107" s="1837"/>
      <c r="AT107" s="1206" t="s">
        <v>385</v>
      </c>
      <c r="AU107" s="1207"/>
      <c r="AV107" s="1208"/>
      <c r="AW107" s="1208"/>
      <c r="AX107" s="1208"/>
      <c r="AY107" s="1208"/>
      <c r="AZ107" s="1208"/>
      <c r="BA107" s="1208"/>
      <c r="BB107" s="1208"/>
      <c r="BC107" s="1208"/>
      <c r="BD107" s="1209"/>
      <c r="BE107" s="1843"/>
      <c r="BF107" s="1846"/>
      <c r="BG107" s="1846"/>
      <c r="BH107" s="1849"/>
      <c r="BI107" s="1852"/>
      <c r="BJ107" s="1840"/>
      <c r="BK107" s="1840"/>
      <c r="BL107" s="1840"/>
      <c r="BM107" s="1840"/>
      <c r="BN107" s="1837"/>
    </row>
    <row r="108" spans="2:66" ht="14" thickBot="1">
      <c r="B108" s="1210" t="s">
        <v>388</v>
      </c>
      <c r="C108" s="1221" t="str">
        <f>IF(OR(C105&gt;0,C106&gt;0,C107&gt;0),1,"")</f>
        <v/>
      </c>
      <c r="D108" s="1222" t="str">
        <f>IF(OR(D105&gt;0,D106&gt;0,D107&gt;0),1,"")</f>
        <v/>
      </c>
      <c r="E108" s="1222" t="str">
        <f t="shared" ref="E108:L108" si="51">IF(OR(E105&gt;0,E106&gt;0,E107&gt;0),1,"")</f>
        <v/>
      </c>
      <c r="F108" s="1222" t="str">
        <f t="shared" si="51"/>
        <v/>
      </c>
      <c r="G108" s="1222" t="str">
        <f t="shared" si="51"/>
        <v/>
      </c>
      <c r="H108" s="1222" t="str">
        <f t="shared" si="51"/>
        <v/>
      </c>
      <c r="I108" s="1222" t="str">
        <f t="shared" si="51"/>
        <v/>
      </c>
      <c r="J108" s="1222" t="str">
        <f t="shared" si="51"/>
        <v/>
      </c>
      <c r="K108" s="1222" t="str">
        <f t="shared" si="51"/>
        <v/>
      </c>
      <c r="L108" s="1222" t="str">
        <f t="shared" si="51"/>
        <v/>
      </c>
      <c r="M108" s="1859"/>
      <c r="N108" s="1861"/>
      <c r="O108" s="1861"/>
      <c r="P108" s="1863"/>
      <c r="Q108" s="1855"/>
      <c r="R108" s="1857"/>
      <c r="S108" s="1857"/>
      <c r="T108" s="1857"/>
      <c r="U108" s="1857"/>
      <c r="V108" s="1865"/>
      <c r="X108" s="1210" t="s">
        <v>388</v>
      </c>
      <c r="Y108" s="1221" t="str">
        <f>IF(OR(Y105&gt;0,Y106&gt;0,Y107&gt;0),1,"")</f>
        <v/>
      </c>
      <c r="Z108" s="1222" t="str">
        <f>IF(OR(Z105&gt;0,Z106&gt;0,Z107&gt;0),1,"")</f>
        <v/>
      </c>
      <c r="AA108" s="1222" t="str">
        <f t="shared" ref="AA108:AH108" si="52">IF(OR(AA105&gt;0,AA106&gt;0,AA107&gt;0),1,"")</f>
        <v/>
      </c>
      <c r="AB108" s="1222" t="str">
        <f t="shared" si="52"/>
        <v/>
      </c>
      <c r="AC108" s="1222" t="str">
        <f t="shared" si="52"/>
        <v/>
      </c>
      <c r="AD108" s="1222" t="str">
        <f t="shared" si="52"/>
        <v/>
      </c>
      <c r="AE108" s="1222" t="str">
        <f t="shared" si="52"/>
        <v/>
      </c>
      <c r="AF108" s="1222" t="str">
        <f t="shared" si="52"/>
        <v/>
      </c>
      <c r="AG108" s="1222" t="str">
        <f t="shared" si="52"/>
        <v/>
      </c>
      <c r="AH108" s="1222" t="str">
        <f t="shared" si="52"/>
        <v/>
      </c>
      <c r="AI108" s="1859"/>
      <c r="AJ108" s="1861"/>
      <c r="AK108" s="1861"/>
      <c r="AL108" s="1863"/>
      <c r="AM108" s="1855"/>
      <c r="AN108" s="1857"/>
      <c r="AO108" s="1857"/>
      <c r="AP108" s="1857"/>
      <c r="AQ108" s="1857"/>
      <c r="AR108" s="1865"/>
      <c r="AT108" s="1210" t="s">
        <v>388</v>
      </c>
      <c r="AU108" s="1221" t="str">
        <f>IF(OR(AU105&gt;0,AU106&gt;0,AU107&gt;0),1,"")</f>
        <v/>
      </c>
      <c r="AV108" s="1222" t="str">
        <f>IF(OR(AV105&gt;0,AV106&gt;0,AV107&gt;0),1,"")</f>
        <v/>
      </c>
      <c r="AW108" s="1222" t="str">
        <f t="shared" ref="AW108:BD108" si="53">IF(OR(AW105&gt;0,AW106&gt;0,AW107&gt;0),1,"")</f>
        <v/>
      </c>
      <c r="AX108" s="1222" t="str">
        <f t="shared" si="53"/>
        <v/>
      </c>
      <c r="AY108" s="1222" t="str">
        <f t="shared" si="53"/>
        <v/>
      </c>
      <c r="AZ108" s="1222" t="str">
        <f t="shared" si="53"/>
        <v/>
      </c>
      <c r="BA108" s="1222" t="str">
        <f t="shared" si="53"/>
        <v/>
      </c>
      <c r="BB108" s="1222" t="str">
        <f t="shared" si="53"/>
        <v/>
      </c>
      <c r="BC108" s="1222" t="str">
        <f t="shared" si="53"/>
        <v/>
      </c>
      <c r="BD108" s="1222" t="str">
        <f t="shared" si="53"/>
        <v/>
      </c>
      <c r="BE108" s="1859"/>
      <c r="BF108" s="1861"/>
      <c r="BG108" s="1861"/>
      <c r="BH108" s="1863"/>
      <c r="BI108" s="1855"/>
      <c r="BJ108" s="1857"/>
      <c r="BK108" s="1857"/>
      <c r="BL108" s="1857"/>
      <c r="BM108" s="1857"/>
      <c r="BN108" s="1865"/>
    </row>
    <row r="109" spans="2:66" ht="15" customHeight="1" thickTop="1">
      <c r="B109" s="1194" t="s">
        <v>387</v>
      </c>
      <c r="C109" s="1195"/>
      <c r="D109" s="1196"/>
      <c r="E109" s="1196"/>
      <c r="F109" s="1196"/>
      <c r="G109" s="1196"/>
      <c r="H109" s="1196"/>
      <c r="I109" s="1196"/>
      <c r="J109" s="1196"/>
      <c r="K109" s="1196"/>
      <c r="L109" s="1197"/>
      <c r="M109" s="1858">
        <f>SUM(C109:L109)</f>
        <v>0</v>
      </c>
      <c r="N109" s="1860">
        <f>SUM(C110:L110)</f>
        <v>0</v>
      </c>
      <c r="O109" s="1860">
        <f>SUM(C111:L111)</f>
        <v>0</v>
      </c>
      <c r="P109" s="1862">
        <f>SUM(C112:L112)</f>
        <v>0</v>
      </c>
      <c r="Q109" s="1854">
        <f>IF(G91="","",SUM(N109:P113))</f>
        <v>0</v>
      </c>
      <c r="R109" s="1856"/>
      <c r="S109" s="1856"/>
      <c r="T109" s="1856"/>
      <c r="U109" s="1856"/>
      <c r="V109" s="1864" t="s">
        <v>395</v>
      </c>
      <c r="X109" s="1194" t="s">
        <v>387</v>
      </c>
      <c r="Y109" s="1195"/>
      <c r="Z109" s="1196"/>
      <c r="AA109" s="1196"/>
      <c r="AB109" s="1196"/>
      <c r="AC109" s="1196"/>
      <c r="AD109" s="1196"/>
      <c r="AE109" s="1196"/>
      <c r="AF109" s="1196"/>
      <c r="AG109" s="1196"/>
      <c r="AH109" s="1197"/>
      <c r="AI109" s="1858">
        <f>SUM(Y109:AH109)</f>
        <v>0</v>
      </c>
      <c r="AJ109" s="1860">
        <f>SUM(Y110:AH110)</f>
        <v>0</v>
      </c>
      <c r="AK109" s="1860">
        <f>SUM(Y111:AH111)</f>
        <v>0</v>
      </c>
      <c r="AL109" s="1862">
        <f>SUM(Y112:AH112)</f>
        <v>0</v>
      </c>
      <c r="AM109" s="1854">
        <f>IF(AC91="","",SUM(AJ109:AL113))</f>
        <v>0</v>
      </c>
      <c r="AN109" s="1856"/>
      <c r="AO109" s="1856"/>
      <c r="AP109" s="1856"/>
      <c r="AQ109" s="1856"/>
      <c r="AR109" s="1864" t="s">
        <v>395</v>
      </c>
      <c r="AT109" s="1194" t="s">
        <v>387</v>
      </c>
      <c r="AU109" s="1195"/>
      <c r="AV109" s="1196"/>
      <c r="AW109" s="1196"/>
      <c r="AX109" s="1196"/>
      <c r="AY109" s="1196"/>
      <c r="AZ109" s="1196"/>
      <c r="BA109" s="1196"/>
      <c r="BB109" s="1196"/>
      <c r="BC109" s="1196"/>
      <c r="BD109" s="1197"/>
      <c r="BE109" s="1858">
        <f>SUM(AU109:BD109)</f>
        <v>0</v>
      </c>
      <c r="BF109" s="1860">
        <f>SUM(AU110:BD110)</f>
        <v>0</v>
      </c>
      <c r="BG109" s="1860">
        <f>SUM(AU111:BD111)</f>
        <v>0</v>
      </c>
      <c r="BH109" s="1862">
        <f>SUM(AU112:BD112)</f>
        <v>0</v>
      </c>
      <c r="BI109" s="1854">
        <f>IF(AY91="","",SUM(BF109:BH113))</f>
        <v>0</v>
      </c>
      <c r="BJ109" s="1856"/>
      <c r="BK109" s="1856"/>
      <c r="BL109" s="1856"/>
      <c r="BM109" s="1856"/>
      <c r="BN109" s="1864" t="s">
        <v>395</v>
      </c>
    </row>
    <row r="110" spans="2:66" ht="13.5">
      <c r="B110" s="1198" t="s">
        <v>383</v>
      </c>
      <c r="C110" s="1199"/>
      <c r="D110" s="1200"/>
      <c r="E110" s="1200"/>
      <c r="F110" s="1200"/>
      <c r="G110" s="1200"/>
      <c r="H110" s="1200"/>
      <c r="I110" s="1200"/>
      <c r="J110" s="1200"/>
      <c r="K110" s="1200"/>
      <c r="L110" s="1201"/>
      <c r="M110" s="1843"/>
      <c r="N110" s="1846"/>
      <c r="O110" s="1846"/>
      <c r="P110" s="1849"/>
      <c r="Q110" s="1852"/>
      <c r="R110" s="1840"/>
      <c r="S110" s="1840"/>
      <c r="T110" s="1840"/>
      <c r="U110" s="1840"/>
      <c r="V110" s="1837"/>
      <c r="X110" s="1198" t="s">
        <v>383</v>
      </c>
      <c r="Y110" s="1199"/>
      <c r="Z110" s="1200"/>
      <c r="AA110" s="1200"/>
      <c r="AB110" s="1200"/>
      <c r="AC110" s="1200"/>
      <c r="AD110" s="1200"/>
      <c r="AE110" s="1200"/>
      <c r="AF110" s="1200"/>
      <c r="AG110" s="1200"/>
      <c r="AH110" s="1201"/>
      <c r="AI110" s="1843"/>
      <c r="AJ110" s="1846"/>
      <c r="AK110" s="1846"/>
      <c r="AL110" s="1849"/>
      <c r="AM110" s="1852"/>
      <c r="AN110" s="1840"/>
      <c r="AO110" s="1840"/>
      <c r="AP110" s="1840"/>
      <c r="AQ110" s="1840"/>
      <c r="AR110" s="1837"/>
      <c r="AT110" s="1198" t="s">
        <v>383</v>
      </c>
      <c r="AU110" s="1199"/>
      <c r="AV110" s="1200"/>
      <c r="AW110" s="1200"/>
      <c r="AX110" s="1200"/>
      <c r="AY110" s="1200"/>
      <c r="AZ110" s="1200"/>
      <c r="BA110" s="1200"/>
      <c r="BB110" s="1200"/>
      <c r="BC110" s="1200"/>
      <c r="BD110" s="1201"/>
      <c r="BE110" s="1843"/>
      <c r="BF110" s="1846"/>
      <c r="BG110" s="1846"/>
      <c r="BH110" s="1849"/>
      <c r="BI110" s="1852"/>
      <c r="BJ110" s="1840"/>
      <c r="BK110" s="1840"/>
      <c r="BL110" s="1840"/>
      <c r="BM110" s="1840"/>
      <c r="BN110" s="1837"/>
    </row>
    <row r="111" spans="2:66" ht="13.5">
      <c r="B111" s="1202" t="s">
        <v>384</v>
      </c>
      <c r="C111" s="1203"/>
      <c r="D111" s="1204"/>
      <c r="E111" s="1204"/>
      <c r="F111" s="1204"/>
      <c r="G111" s="1204"/>
      <c r="H111" s="1204"/>
      <c r="I111" s="1204"/>
      <c r="J111" s="1204"/>
      <c r="K111" s="1204"/>
      <c r="L111" s="1205"/>
      <c r="M111" s="1843"/>
      <c r="N111" s="1846"/>
      <c r="O111" s="1846"/>
      <c r="P111" s="1849"/>
      <c r="Q111" s="1852"/>
      <c r="R111" s="1840"/>
      <c r="S111" s="1840"/>
      <c r="T111" s="1840"/>
      <c r="U111" s="1840"/>
      <c r="V111" s="1837"/>
      <c r="X111" s="1202" t="s">
        <v>384</v>
      </c>
      <c r="Y111" s="1203"/>
      <c r="Z111" s="1204"/>
      <c r="AA111" s="1204"/>
      <c r="AB111" s="1204"/>
      <c r="AC111" s="1204"/>
      <c r="AD111" s="1204"/>
      <c r="AE111" s="1204"/>
      <c r="AF111" s="1204"/>
      <c r="AG111" s="1204"/>
      <c r="AH111" s="1205"/>
      <c r="AI111" s="1843"/>
      <c r="AJ111" s="1846"/>
      <c r="AK111" s="1846"/>
      <c r="AL111" s="1849"/>
      <c r="AM111" s="1852"/>
      <c r="AN111" s="1840"/>
      <c r="AO111" s="1840"/>
      <c r="AP111" s="1840"/>
      <c r="AQ111" s="1840"/>
      <c r="AR111" s="1837"/>
      <c r="AT111" s="1202" t="s">
        <v>384</v>
      </c>
      <c r="AU111" s="1203"/>
      <c r="AV111" s="1204"/>
      <c r="AW111" s="1204"/>
      <c r="AX111" s="1204"/>
      <c r="AY111" s="1204"/>
      <c r="AZ111" s="1204"/>
      <c r="BA111" s="1204"/>
      <c r="BB111" s="1204"/>
      <c r="BC111" s="1204"/>
      <c r="BD111" s="1205"/>
      <c r="BE111" s="1843"/>
      <c r="BF111" s="1846"/>
      <c r="BG111" s="1846"/>
      <c r="BH111" s="1849"/>
      <c r="BI111" s="1852"/>
      <c r="BJ111" s="1840"/>
      <c r="BK111" s="1840"/>
      <c r="BL111" s="1840"/>
      <c r="BM111" s="1840"/>
      <c r="BN111" s="1837"/>
    </row>
    <row r="112" spans="2:66" ht="13.5">
      <c r="B112" s="1206" t="s">
        <v>385</v>
      </c>
      <c r="C112" s="1207"/>
      <c r="D112" s="1208"/>
      <c r="E112" s="1208"/>
      <c r="F112" s="1208"/>
      <c r="G112" s="1208"/>
      <c r="H112" s="1208"/>
      <c r="I112" s="1208"/>
      <c r="J112" s="1208"/>
      <c r="K112" s="1208"/>
      <c r="L112" s="1209"/>
      <c r="M112" s="1843"/>
      <c r="N112" s="1846"/>
      <c r="O112" s="1846"/>
      <c r="P112" s="1849"/>
      <c r="Q112" s="1852"/>
      <c r="R112" s="1840"/>
      <c r="S112" s="1840"/>
      <c r="T112" s="1840"/>
      <c r="U112" s="1840"/>
      <c r="V112" s="1837"/>
      <c r="X112" s="1206" t="s">
        <v>385</v>
      </c>
      <c r="Y112" s="1207"/>
      <c r="Z112" s="1208"/>
      <c r="AA112" s="1208"/>
      <c r="AB112" s="1208"/>
      <c r="AC112" s="1208"/>
      <c r="AD112" s="1208"/>
      <c r="AE112" s="1208"/>
      <c r="AF112" s="1208"/>
      <c r="AG112" s="1208"/>
      <c r="AH112" s="1209"/>
      <c r="AI112" s="1843"/>
      <c r="AJ112" s="1846"/>
      <c r="AK112" s="1846"/>
      <c r="AL112" s="1849"/>
      <c r="AM112" s="1852"/>
      <c r="AN112" s="1840"/>
      <c r="AO112" s="1840"/>
      <c r="AP112" s="1840"/>
      <c r="AQ112" s="1840"/>
      <c r="AR112" s="1837"/>
      <c r="AT112" s="1206" t="s">
        <v>385</v>
      </c>
      <c r="AU112" s="1207"/>
      <c r="AV112" s="1208"/>
      <c r="AW112" s="1208"/>
      <c r="AX112" s="1208"/>
      <c r="AY112" s="1208"/>
      <c r="AZ112" s="1208"/>
      <c r="BA112" s="1208"/>
      <c r="BB112" s="1208"/>
      <c r="BC112" s="1208"/>
      <c r="BD112" s="1209"/>
      <c r="BE112" s="1843"/>
      <c r="BF112" s="1846"/>
      <c r="BG112" s="1846"/>
      <c r="BH112" s="1849"/>
      <c r="BI112" s="1852"/>
      <c r="BJ112" s="1840"/>
      <c r="BK112" s="1840"/>
      <c r="BL112" s="1840"/>
      <c r="BM112" s="1840"/>
      <c r="BN112" s="1837"/>
    </row>
    <row r="113" spans="1:66" ht="14" thickBot="1">
      <c r="B113" s="1210" t="s">
        <v>388</v>
      </c>
      <c r="C113" s="1221" t="str">
        <f>IF(OR(C110&gt;0,C111&gt;0,C112&gt;0),1,"")</f>
        <v/>
      </c>
      <c r="D113" s="1222" t="str">
        <f>IF(OR(D110&gt;0,D111&gt;0,D112&gt;0),1,"")</f>
        <v/>
      </c>
      <c r="E113" s="1222" t="str">
        <f t="shared" ref="E113:L113" si="54">IF(OR(E110&gt;0,E111&gt;0,E112&gt;0),1,"")</f>
        <v/>
      </c>
      <c r="F113" s="1222" t="str">
        <f t="shared" si="54"/>
        <v/>
      </c>
      <c r="G113" s="1222" t="str">
        <f t="shared" si="54"/>
        <v/>
      </c>
      <c r="H113" s="1222" t="str">
        <f t="shared" si="54"/>
        <v/>
      </c>
      <c r="I113" s="1222" t="str">
        <f t="shared" si="54"/>
        <v/>
      </c>
      <c r="J113" s="1222" t="str">
        <f t="shared" si="54"/>
        <v/>
      </c>
      <c r="K113" s="1222" t="str">
        <f t="shared" si="54"/>
        <v/>
      </c>
      <c r="L113" s="1222" t="str">
        <f t="shared" si="54"/>
        <v/>
      </c>
      <c r="M113" s="1859"/>
      <c r="N113" s="1861"/>
      <c r="O113" s="1861"/>
      <c r="P113" s="1863"/>
      <c r="Q113" s="1855"/>
      <c r="R113" s="1857"/>
      <c r="S113" s="1857"/>
      <c r="T113" s="1857"/>
      <c r="U113" s="1857"/>
      <c r="V113" s="1865"/>
      <c r="X113" s="1210" t="s">
        <v>388</v>
      </c>
      <c r="Y113" s="1221" t="str">
        <f>IF(OR(Y110&gt;0,Y111&gt;0,Y112&gt;0),1,"")</f>
        <v/>
      </c>
      <c r="Z113" s="1222" t="str">
        <f>IF(OR(Z110&gt;0,Z111&gt;0,Z112&gt;0),1,"")</f>
        <v/>
      </c>
      <c r="AA113" s="1222" t="str">
        <f t="shared" ref="AA113:AH113" si="55">IF(OR(AA110&gt;0,AA111&gt;0,AA112&gt;0),1,"")</f>
        <v/>
      </c>
      <c r="AB113" s="1222" t="str">
        <f t="shared" si="55"/>
        <v/>
      </c>
      <c r="AC113" s="1222" t="str">
        <f t="shared" si="55"/>
        <v/>
      </c>
      <c r="AD113" s="1222" t="str">
        <f t="shared" si="55"/>
        <v/>
      </c>
      <c r="AE113" s="1222" t="str">
        <f t="shared" si="55"/>
        <v/>
      </c>
      <c r="AF113" s="1222" t="str">
        <f t="shared" si="55"/>
        <v/>
      </c>
      <c r="AG113" s="1222" t="str">
        <f t="shared" si="55"/>
        <v/>
      </c>
      <c r="AH113" s="1222" t="str">
        <f t="shared" si="55"/>
        <v/>
      </c>
      <c r="AI113" s="1859"/>
      <c r="AJ113" s="1861"/>
      <c r="AK113" s="1861"/>
      <c r="AL113" s="1863"/>
      <c r="AM113" s="1855"/>
      <c r="AN113" s="1857"/>
      <c r="AO113" s="1857"/>
      <c r="AP113" s="1857"/>
      <c r="AQ113" s="1857"/>
      <c r="AR113" s="1865"/>
      <c r="AT113" s="1210" t="s">
        <v>388</v>
      </c>
      <c r="AU113" s="1221" t="str">
        <f>IF(OR(AU110&gt;0,AU111&gt;0,AU112&gt;0),1,"")</f>
        <v/>
      </c>
      <c r="AV113" s="1222" t="str">
        <f>IF(OR(AV110&gt;0,AV111&gt;0,AV112&gt;0),1,"")</f>
        <v/>
      </c>
      <c r="AW113" s="1222" t="str">
        <f t="shared" ref="AW113:BD113" si="56">IF(OR(AW110&gt;0,AW111&gt;0,AW112&gt;0),1,"")</f>
        <v/>
      </c>
      <c r="AX113" s="1222" t="str">
        <f t="shared" si="56"/>
        <v/>
      </c>
      <c r="AY113" s="1222" t="str">
        <f t="shared" si="56"/>
        <v/>
      </c>
      <c r="AZ113" s="1222" t="str">
        <f t="shared" si="56"/>
        <v/>
      </c>
      <c r="BA113" s="1222" t="str">
        <f t="shared" si="56"/>
        <v/>
      </c>
      <c r="BB113" s="1222" t="str">
        <f t="shared" si="56"/>
        <v/>
      </c>
      <c r="BC113" s="1222" t="str">
        <f t="shared" si="56"/>
        <v/>
      </c>
      <c r="BD113" s="1222" t="str">
        <f t="shared" si="56"/>
        <v/>
      </c>
      <c r="BE113" s="1859"/>
      <c r="BF113" s="1861"/>
      <c r="BG113" s="1861"/>
      <c r="BH113" s="1863"/>
      <c r="BI113" s="1855"/>
      <c r="BJ113" s="1857"/>
      <c r="BK113" s="1857"/>
      <c r="BL113" s="1857"/>
      <c r="BM113" s="1857"/>
      <c r="BN113" s="1865"/>
    </row>
    <row r="114" spans="1:66" ht="15" customHeight="1" thickTop="1">
      <c r="B114" s="1194" t="s">
        <v>387</v>
      </c>
      <c r="C114" s="1195"/>
      <c r="D114" s="1196"/>
      <c r="E114" s="1196"/>
      <c r="F114" s="1196"/>
      <c r="G114" s="1196"/>
      <c r="H114" s="1196"/>
      <c r="I114" s="1196"/>
      <c r="J114" s="1196"/>
      <c r="K114" s="1196"/>
      <c r="L114" s="1197"/>
      <c r="M114" s="1842">
        <f>SUM(C114:L114)</f>
        <v>0</v>
      </c>
      <c r="N114" s="1845">
        <f>SUM(C115:L115)</f>
        <v>0</v>
      </c>
      <c r="O114" s="1845">
        <f>SUM(C116:L116)</f>
        <v>0</v>
      </c>
      <c r="P114" s="1848">
        <f>SUM(C117:L117)</f>
        <v>0</v>
      </c>
      <c r="Q114" s="1851">
        <f>IF(G91="","",SUM(N114:P118))</f>
        <v>0</v>
      </c>
      <c r="R114" s="1839"/>
      <c r="S114" s="1839"/>
      <c r="T114" s="1839"/>
      <c r="U114" s="1839"/>
      <c r="V114" s="1836" t="s">
        <v>395</v>
      </c>
      <c r="X114" s="1194" t="s">
        <v>387</v>
      </c>
      <c r="Y114" s="1195"/>
      <c r="Z114" s="1196"/>
      <c r="AA114" s="1196"/>
      <c r="AB114" s="1196"/>
      <c r="AC114" s="1196"/>
      <c r="AD114" s="1196"/>
      <c r="AE114" s="1196"/>
      <c r="AF114" s="1196"/>
      <c r="AG114" s="1196"/>
      <c r="AH114" s="1197"/>
      <c r="AI114" s="1842">
        <f>SUM(Y114:AH114)</f>
        <v>0</v>
      </c>
      <c r="AJ114" s="1845">
        <f>SUM(Y115:AH115)</f>
        <v>0</v>
      </c>
      <c r="AK114" s="1845">
        <f>SUM(Y116:AH116)</f>
        <v>0</v>
      </c>
      <c r="AL114" s="1848">
        <f>SUM(Y117:AH117)</f>
        <v>0</v>
      </c>
      <c r="AM114" s="1851">
        <f>IF(AC91="","",SUM(AJ114:AL118))</f>
        <v>0</v>
      </c>
      <c r="AN114" s="1839"/>
      <c r="AO114" s="1839"/>
      <c r="AP114" s="1839"/>
      <c r="AQ114" s="1839"/>
      <c r="AR114" s="1836" t="s">
        <v>395</v>
      </c>
      <c r="AT114" s="1194" t="s">
        <v>387</v>
      </c>
      <c r="AU114" s="1195"/>
      <c r="AV114" s="1196"/>
      <c r="AW114" s="1196"/>
      <c r="AX114" s="1196"/>
      <c r="AY114" s="1196"/>
      <c r="AZ114" s="1196"/>
      <c r="BA114" s="1196"/>
      <c r="BB114" s="1196"/>
      <c r="BC114" s="1196"/>
      <c r="BD114" s="1197"/>
      <c r="BE114" s="1842">
        <f>SUM(AU114:BD114)</f>
        <v>0</v>
      </c>
      <c r="BF114" s="1845">
        <f>SUM(AU115:BD115)</f>
        <v>0</v>
      </c>
      <c r="BG114" s="1845">
        <f>SUM(AU116:BD116)</f>
        <v>0</v>
      </c>
      <c r="BH114" s="1848">
        <f>SUM(AU117:BD117)</f>
        <v>0</v>
      </c>
      <c r="BI114" s="1851">
        <f>IF(AY91="","",SUM(BF114:BH118))</f>
        <v>0</v>
      </c>
      <c r="BJ114" s="1839"/>
      <c r="BK114" s="1839"/>
      <c r="BL114" s="1839"/>
      <c r="BM114" s="1839"/>
      <c r="BN114" s="1836" t="s">
        <v>395</v>
      </c>
    </row>
    <row r="115" spans="1:66" ht="13.5">
      <c r="B115" s="1198" t="s">
        <v>383</v>
      </c>
      <c r="C115" s="1199"/>
      <c r="D115" s="1200"/>
      <c r="E115" s="1200"/>
      <c r="F115" s="1200"/>
      <c r="G115" s="1200"/>
      <c r="H115" s="1200"/>
      <c r="I115" s="1200"/>
      <c r="J115" s="1200"/>
      <c r="K115" s="1200"/>
      <c r="L115" s="1201"/>
      <c r="M115" s="1843"/>
      <c r="N115" s="1846"/>
      <c r="O115" s="1846"/>
      <c r="P115" s="1849"/>
      <c r="Q115" s="1852"/>
      <c r="R115" s="1840"/>
      <c r="S115" s="1840"/>
      <c r="T115" s="1840"/>
      <c r="U115" s="1840"/>
      <c r="V115" s="1837"/>
      <c r="X115" s="1198" t="s">
        <v>383</v>
      </c>
      <c r="Y115" s="1199"/>
      <c r="Z115" s="1200"/>
      <c r="AA115" s="1200"/>
      <c r="AB115" s="1200"/>
      <c r="AC115" s="1200"/>
      <c r="AD115" s="1200"/>
      <c r="AE115" s="1200"/>
      <c r="AF115" s="1200"/>
      <c r="AG115" s="1200"/>
      <c r="AH115" s="1201"/>
      <c r="AI115" s="1843"/>
      <c r="AJ115" s="1846"/>
      <c r="AK115" s="1846"/>
      <c r="AL115" s="1849"/>
      <c r="AM115" s="1852"/>
      <c r="AN115" s="1840"/>
      <c r="AO115" s="1840"/>
      <c r="AP115" s="1840"/>
      <c r="AQ115" s="1840"/>
      <c r="AR115" s="1837"/>
      <c r="AT115" s="1198" t="s">
        <v>383</v>
      </c>
      <c r="AU115" s="1199"/>
      <c r="AV115" s="1200"/>
      <c r="AW115" s="1200"/>
      <c r="AX115" s="1200"/>
      <c r="AY115" s="1200"/>
      <c r="AZ115" s="1200"/>
      <c r="BA115" s="1200"/>
      <c r="BB115" s="1200"/>
      <c r="BC115" s="1200"/>
      <c r="BD115" s="1201"/>
      <c r="BE115" s="1843"/>
      <c r="BF115" s="1846"/>
      <c r="BG115" s="1846"/>
      <c r="BH115" s="1849"/>
      <c r="BI115" s="1852"/>
      <c r="BJ115" s="1840"/>
      <c r="BK115" s="1840"/>
      <c r="BL115" s="1840"/>
      <c r="BM115" s="1840"/>
      <c r="BN115" s="1837"/>
    </row>
    <row r="116" spans="1:66" ht="13.5">
      <c r="B116" s="1202" t="s">
        <v>384</v>
      </c>
      <c r="C116" s="1203"/>
      <c r="D116" s="1204"/>
      <c r="E116" s="1204"/>
      <c r="F116" s="1204"/>
      <c r="G116" s="1204"/>
      <c r="H116" s="1204"/>
      <c r="I116" s="1204"/>
      <c r="J116" s="1204"/>
      <c r="K116" s="1204"/>
      <c r="L116" s="1205"/>
      <c r="M116" s="1843"/>
      <c r="N116" s="1846"/>
      <c r="O116" s="1846"/>
      <c r="P116" s="1849"/>
      <c r="Q116" s="1852"/>
      <c r="R116" s="1840"/>
      <c r="S116" s="1840"/>
      <c r="T116" s="1840"/>
      <c r="U116" s="1840"/>
      <c r="V116" s="1837"/>
      <c r="X116" s="1202" t="s">
        <v>384</v>
      </c>
      <c r="Y116" s="1203"/>
      <c r="Z116" s="1204"/>
      <c r="AA116" s="1204"/>
      <c r="AB116" s="1204"/>
      <c r="AC116" s="1204"/>
      <c r="AD116" s="1204"/>
      <c r="AE116" s="1204"/>
      <c r="AF116" s="1204"/>
      <c r="AG116" s="1204"/>
      <c r="AH116" s="1205"/>
      <c r="AI116" s="1843"/>
      <c r="AJ116" s="1846"/>
      <c r="AK116" s="1846"/>
      <c r="AL116" s="1849"/>
      <c r="AM116" s="1852"/>
      <c r="AN116" s="1840"/>
      <c r="AO116" s="1840"/>
      <c r="AP116" s="1840"/>
      <c r="AQ116" s="1840"/>
      <c r="AR116" s="1837"/>
      <c r="AT116" s="1202" t="s">
        <v>384</v>
      </c>
      <c r="AU116" s="1203"/>
      <c r="AV116" s="1204"/>
      <c r="AW116" s="1204"/>
      <c r="AX116" s="1204"/>
      <c r="AY116" s="1204"/>
      <c r="AZ116" s="1204"/>
      <c r="BA116" s="1204"/>
      <c r="BB116" s="1204"/>
      <c r="BC116" s="1204"/>
      <c r="BD116" s="1205"/>
      <c r="BE116" s="1843"/>
      <c r="BF116" s="1846"/>
      <c r="BG116" s="1846"/>
      <c r="BH116" s="1849"/>
      <c r="BI116" s="1852"/>
      <c r="BJ116" s="1840"/>
      <c r="BK116" s="1840"/>
      <c r="BL116" s="1840"/>
      <c r="BM116" s="1840"/>
      <c r="BN116" s="1837"/>
    </row>
    <row r="117" spans="1:66" ht="13.5">
      <c r="B117" s="1206" t="s">
        <v>385</v>
      </c>
      <c r="C117" s="1207"/>
      <c r="D117" s="1208"/>
      <c r="E117" s="1208"/>
      <c r="F117" s="1208"/>
      <c r="G117" s="1208"/>
      <c r="H117" s="1208"/>
      <c r="I117" s="1208"/>
      <c r="J117" s="1208"/>
      <c r="K117" s="1208"/>
      <c r="L117" s="1209"/>
      <c r="M117" s="1843"/>
      <c r="N117" s="1846"/>
      <c r="O117" s="1846"/>
      <c r="P117" s="1849"/>
      <c r="Q117" s="1852"/>
      <c r="R117" s="1840"/>
      <c r="S117" s="1840"/>
      <c r="T117" s="1840"/>
      <c r="U117" s="1840"/>
      <c r="V117" s="1837"/>
      <c r="X117" s="1206" t="s">
        <v>385</v>
      </c>
      <c r="Y117" s="1207"/>
      <c r="Z117" s="1208"/>
      <c r="AA117" s="1208"/>
      <c r="AB117" s="1208"/>
      <c r="AC117" s="1208"/>
      <c r="AD117" s="1208"/>
      <c r="AE117" s="1208"/>
      <c r="AF117" s="1208"/>
      <c r="AG117" s="1208"/>
      <c r="AH117" s="1209"/>
      <c r="AI117" s="1843"/>
      <c r="AJ117" s="1846"/>
      <c r="AK117" s="1846"/>
      <c r="AL117" s="1849"/>
      <c r="AM117" s="1852"/>
      <c r="AN117" s="1840"/>
      <c r="AO117" s="1840"/>
      <c r="AP117" s="1840"/>
      <c r="AQ117" s="1840"/>
      <c r="AR117" s="1837"/>
      <c r="AT117" s="1206" t="s">
        <v>385</v>
      </c>
      <c r="AU117" s="1207"/>
      <c r="AV117" s="1208"/>
      <c r="AW117" s="1208"/>
      <c r="AX117" s="1208"/>
      <c r="AY117" s="1208"/>
      <c r="AZ117" s="1208"/>
      <c r="BA117" s="1208"/>
      <c r="BB117" s="1208"/>
      <c r="BC117" s="1208"/>
      <c r="BD117" s="1209"/>
      <c r="BE117" s="1843"/>
      <c r="BF117" s="1846"/>
      <c r="BG117" s="1846"/>
      <c r="BH117" s="1849"/>
      <c r="BI117" s="1852"/>
      <c r="BJ117" s="1840"/>
      <c r="BK117" s="1840"/>
      <c r="BL117" s="1840"/>
      <c r="BM117" s="1840"/>
      <c r="BN117" s="1837"/>
    </row>
    <row r="118" spans="1:66" ht="13.5">
      <c r="B118" s="1215" t="s">
        <v>388</v>
      </c>
      <c r="C118" s="1223" t="str">
        <f>IF(OR(C115&gt;0,C116&gt;0,C117&gt;0),1,"")</f>
        <v/>
      </c>
      <c r="D118" s="1224" t="str">
        <f>IF(OR(D115&gt;0,D116&gt;0,D117&gt;0),1,"")</f>
        <v/>
      </c>
      <c r="E118" s="1224" t="str">
        <f t="shared" ref="E118:L118" si="57">IF(OR(E115&gt;0,E116&gt;0,E117&gt;0),1,"")</f>
        <v/>
      </c>
      <c r="F118" s="1224" t="str">
        <f t="shared" si="57"/>
        <v/>
      </c>
      <c r="G118" s="1224" t="str">
        <f t="shared" si="57"/>
        <v/>
      </c>
      <c r="H118" s="1224" t="str">
        <f t="shared" si="57"/>
        <v/>
      </c>
      <c r="I118" s="1224" t="str">
        <f t="shared" si="57"/>
        <v/>
      </c>
      <c r="J118" s="1224" t="str">
        <f t="shared" si="57"/>
        <v/>
      </c>
      <c r="K118" s="1224" t="str">
        <f t="shared" si="57"/>
        <v/>
      </c>
      <c r="L118" s="1225" t="str">
        <f t="shared" si="57"/>
        <v/>
      </c>
      <c r="M118" s="1844"/>
      <c r="N118" s="1847"/>
      <c r="O118" s="1847"/>
      <c r="P118" s="1850"/>
      <c r="Q118" s="1853"/>
      <c r="R118" s="1841"/>
      <c r="S118" s="1841"/>
      <c r="T118" s="1841"/>
      <c r="U118" s="1841"/>
      <c r="V118" s="1838"/>
      <c r="X118" s="1215" t="s">
        <v>388</v>
      </c>
      <c r="Y118" s="1223" t="str">
        <f>IF(OR(Y115&gt;0,Y116&gt;0,Y117&gt;0),1,"")</f>
        <v/>
      </c>
      <c r="Z118" s="1224" t="str">
        <f>IF(OR(Z115&gt;0,Z116&gt;0,Z117&gt;0),1,"")</f>
        <v/>
      </c>
      <c r="AA118" s="1224" t="str">
        <f t="shared" ref="AA118:AH118" si="58">IF(OR(AA115&gt;0,AA116&gt;0,AA117&gt;0),1,"")</f>
        <v/>
      </c>
      <c r="AB118" s="1224" t="str">
        <f t="shared" si="58"/>
        <v/>
      </c>
      <c r="AC118" s="1224" t="str">
        <f t="shared" si="58"/>
        <v/>
      </c>
      <c r="AD118" s="1224" t="str">
        <f t="shared" si="58"/>
        <v/>
      </c>
      <c r="AE118" s="1224" t="str">
        <f t="shared" si="58"/>
        <v/>
      </c>
      <c r="AF118" s="1224" t="str">
        <f t="shared" si="58"/>
        <v/>
      </c>
      <c r="AG118" s="1224" t="str">
        <f t="shared" si="58"/>
        <v/>
      </c>
      <c r="AH118" s="1225" t="str">
        <f t="shared" si="58"/>
        <v/>
      </c>
      <c r="AI118" s="1844"/>
      <c r="AJ118" s="1847"/>
      <c r="AK118" s="1847"/>
      <c r="AL118" s="1850"/>
      <c r="AM118" s="1853"/>
      <c r="AN118" s="1841"/>
      <c r="AO118" s="1841"/>
      <c r="AP118" s="1841"/>
      <c r="AQ118" s="1841"/>
      <c r="AR118" s="1838"/>
      <c r="AT118" s="1215" t="s">
        <v>388</v>
      </c>
      <c r="AU118" s="1223" t="str">
        <f>IF(OR(AU115&gt;0,AU116&gt;0,AU117&gt;0),1,"")</f>
        <v/>
      </c>
      <c r="AV118" s="1224" t="str">
        <f>IF(OR(AV115&gt;0,AV116&gt;0,AV117&gt;0),1,"")</f>
        <v/>
      </c>
      <c r="AW118" s="1224" t="str">
        <f t="shared" ref="AW118:BD118" si="59">IF(OR(AW115&gt;0,AW116&gt;0,AW117&gt;0),1,"")</f>
        <v/>
      </c>
      <c r="AX118" s="1224" t="str">
        <f t="shared" si="59"/>
        <v/>
      </c>
      <c r="AY118" s="1224" t="str">
        <f t="shared" si="59"/>
        <v/>
      </c>
      <c r="AZ118" s="1224" t="str">
        <f t="shared" si="59"/>
        <v/>
      </c>
      <c r="BA118" s="1224" t="str">
        <f t="shared" si="59"/>
        <v/>
      </c>
      <c r="BB118" s="1224" t="str">
        <f t="shared" si="59"/>
        <v/>
      </c>
      <c r="BC118" s="1224" t="str">
        <f t="shared" si="59"/>
        <v/>
      </c>
      <c r="BD118" s="1225" t="str">
        <f t="shared" si="59"/>
        <v/>
      </c>
      <c r="BE118" s="1844"/>
      <c r="BF118" s="1847"/>
      <c r="BG118" s="1847"/>
      <c r="BH118" s="1850"/>
      <c r="BI118" s="1853"/>
      <c r="BJ118" s="1841"/>
      <c r="BK118" s="1841"/>
      <c r="BL118" s="1841"/>
      <c r="BM118" s="1841"/>
      <c r="BN118" s="1838"/>
    </row>
    <row r="119" spans="1:66">
      <c r="B119" s="1216"/>
      <c r="C119" s="1216"/>
      <c r="D119" s="1216"/>
      <c r="E119" s="1216"/>
      <c r="F119" s="1216"/>
      <c r="G119" s="1216"/>
      <c r="H119" s="1216"/>
      <c r="I119" s="1216"/>
      <c r="J119" s="1216"/>
      <c r="K119" s="1216"/>
      <c r="L119" s="1216"/>
      <c r="M119" s="1216"/>
      <c r="N119" s="1216"/>
      <c r="O119" s="1216"/>
      <c r="P119" s="1216"/>
      <c r="Q119" s="1216"/>
      <c r="X119" s="1216"/>
      <c r="Y119" s="1216"/>
      <c r="Z119" s="1216"/>
      <c r="AA119" s="1216"/>
      <c r="AB119" s="1216"/>
      <c r="AC119" s="1216"/>
      <c r="AD119" s="1216"/>
      <c r="AE119" s="1216"/>
      <c r="AF119" s="1216"/>
      <c r="AG119" s="1216"/>
      <c r="AH119" s="1216"/>
      <c r="AI119" s="1216"/>
      <c r="AJ119" s="1216"/>
      <c r="AK119" s="1216"/>
      <c r="AL119" s="1216"/>
      <c r="AM119" s="1216"/>
      <c r="AT119" s="1216"/>
      <c r="AU119" s="1216"/>
      <c r="AV119" s="1216"/>
      <c r="AW119" s="1216"/>
      <c r="AX119" s="1216"/>
      <c r="AY119" s="1216"/>
      <c r="AZ119" s="1216"/>
      <c r="BA119" s="1216"/>
      <c r="BB119" s="1216"/>
      <c r="BC119" s="1216"/>
      <c r="BD119" s="1216"/>
      <c r="BE119" s="1216"/>
      <c r="BF119" s="1216"/>
      <c r="BG119" s="1216"/>
      <c r="BH119" s="1216"/>
      <c r="BI119" s="1216"/>
    </row>
    <row r="120" spans="1:66">
      <c r="B120" s="1175"/>
      <c r="C120" s="1176" t="s">
        <v>398</v>
      </c>
      <c r="D120" s="1217" t="s">
        <v>396</v>
      </c>
      <c r="E120" s="1177"/>
      <c r="F120" s="1177" t="s">
        <v>373</v>
      </c>
      <c r="G120" s="1178">
        <v>46149</v>
      </c>
      <c r="H120" s="1167"/>
      <c r="I120" s="1167"/>
      <c r="J120" s="1179" t="s">
        <v>374</v>
      </c>
      <c r="K120" s="1165"/>
      <c r="L120" s="1165"/>
      <c r="M120" s="1165"/>
      <c r="N120" s="1165"/>
      <c r="O120" s="1165"/>
      <c r="P120" s="1165"/>
      <c r="Q120" s="1165"/>
      <c r="R120" s="1165"/>
      <c r="S120" s="1165"/>
      <c r="T120" s="1165"/>
      <c r="U120" s="1165"/>
      <c r="V120" s="1165"/>
      <c r="X120" s="1175"/>
      <c r="Y120" s="1176" t="s">
        <v>398</v>
      </c>
      <c r="Z120" s="1217" t="s">
        <v>412</v>
      </c>
      <c r="AA120" s="1177"/>
      <c r="AB120" s="1177" t="s">
        <v>373</v>
      </c>
      <c r="AC120" s="1178">
        <v>46160</v>
      </c>
      <c r="AD120" s="1167"/>
      <c r="AE120" s="1167"/>
      <c r="AF120" s="1179" t="s">
        <v>374</v>
      </c>
      <c r="AG120" s="1165"/>
      <c r="AH120" s="1401"/>
      <c r="AI120" s="1165"/>
      <c r="AJ120" s="1165"/>
      <c r="AK120" s="1165"/>
      <c r="AL120" s="1165"/>
      <c r="AM120" s="1165"/>
      <c r="AN120" s="1165"/>
      <c r="AO120" s="1165"/>
      <c r="AP120" s="1165"/>
      <c r="AQ120" s="1165"/>
      <c r="AR120" s="1165"/>
      <c r="AT120" s="1175"/>
      <c r="AU120" s="1176" t="s">
        <v>398</v>
      </c>
      <c r="AV120" s="1217" t="s">
        <v>409</v>
      </c>
      <c r="AW120" s="1177"/>
      <c r="AX120" s="1177" t="s">
        <v>373</v>
      </c>
      <c r="AY120" s="1178">
        <v>46168</v>
      </c>
      <c r="AZ120" s="1167"/>
      <c r="BA120" s="1167"/>
      <c r="BB120" s="1179" t="s">
        <v>374</v>
      </c>
      <c r="BC120" s="1165"/>
      <c r="BD120" s="1401"/>
      <c r="BE120" s="1165"/>
      <c r="BF120" s="1165"/>
      <c r="BG120" s="1165"/>
      <c r="BH120" s="1165"/>
      <c r="BI120" s="1165"/>
      <c r="BJ120" s="1165"/>
      <c r="BK120" s="1165"/>
      <c r="BL120" s="1165"/>
      <c r="BM120" s="1165"/>
      <c r="BN120" s="1165"/>
    </row>
    <row r="121" spans="1:66" ht="15.75" customHeight="1">
      <c r="B121" s="1180" t="s">
        <v>375</v>
      </c>
      <c r="C121" s="1181"/>
      <c r="D121" s="1220">
        <f>IF(J121="",#N/A,SUM(C127:L127,C132:L132,C137:L137,C142:L142,C147:L147))</f>
        <v>0</v>
      </c>
      <c r="E121" s="1183" t="s">
        <v>376</v>
      </c>
      <c r="F121" s="1184" t="s">
        <v>377</v>
      </c>
      <c r="G121" s="1181"/>
      <c r="H121" s="1182" t="s">
        <v>378</v>
      </c>
      <c r="I121" s="1181"/>
      <c r="J121" s="1220">
        <f>IF(AND(Q123="",Q128="",Q133="",Q138="",Q143=""),"",SUM(Q123:Q146))</f>
        <v>0</v>
      </c>
      <c r="K121" s="1183" t="s">
        <v>379</v>
      </c>
      <c r="L121" s="1185" t="s">
        <v>377</v>
      </c>
      <c r="M121" s="1866" t="s">
        <v>380</v>
      </c>
      <c r="N121" s="1867"/>
      <c r="O121" s="1867"/>
      <c r="P121" s="1867"/>
      <c r="Q121" s="1868"/>
      <c r="R121" s="1869" t="s">
        <v>389</v>
      </c>
      <c r="S121" s="1869" t="s">
        <v>390</v>
      </c>
      <c r="T121" s="1869" t="s">
        <v>391</v>
      </c>
      <c r="U121" s="1869" t="s">
        <v>392</v>
      </c>
      <c r="V121" s="1871" t="s">
        <v>393</v>
      </c>
      <c r="X121" s="1180" t="s">
        <v>375</v>
      </c>
      <c r="Y121" s="1181"/>
      <c r="Z121" s="1220">
        <f>IF(AF121="",#N/A,SUM(Y127:AH127,Y132:AH132,Y137:AH137,Y142:AH142,Y147:AH147))</f>
        <v>0</v>
      </c>
      <c r="AA121" s="1183" t="s">
        <v>376</v>
      </c>
      <c r="AB121" s="1184" t="s">
        <v>377</v>
      </c>
      <c r="AC121" s="1181"/>
      <c r="AD121" s="1182" t="s">
        <v>378</v>
      </c>
      <c r="AE121" s="1181"/>
      <c r="AF121" s="1220">
        <f>IF(AND(AM123="",AM128="",AM133="",AM138="",AM143=""),"",SUM(AM123:AM146))</f>
        <v>0</v>
      </c>
      <c r="AG121" s="1183" t="s">
        <v>379</v>
      </c>
      <c r="AH121" s="1185" t="s">
        <v>377</v>
      </c>
      <c r="AI121" s="1866" t="s">
        <v>380</v>
      </c>
      <c r="AJ121" s="1867"/>
      <c r="AK121" s="1867"/>
      <c r="AL121" s="1867"/>
      <c r="AM121" s="1868"/>
      <c r="AN121" s="1869" t="s">
        <v>389</v>
      </c>
      <c r="AO121" s="1869" t="s">
        <v>390</v>
      </c>
      <c r="AP121" s="1869" t="s">
        <v>391</v>
      </c>
      <c r="AQ121" s="1869" t="s">
        <v>392</v>
      </c>
      <c r="AR121" s="1871" t="s">
        <v>393</v>
      </c>
      <c r="AT121" s="1180" t="s">
        <v>375</v>
      </c>
      <c r="AU121" s="1181"/>
      <c r="AV121" s="1220">
        <f>IF(BB121="",#N/A,SUM(AU127:BD127,AU132:BD132,AU137:BD137,AU142:BD142,AU147:BD147))</f>
        <v>1</v>
      </c>
      <c r="AW121" s="1183" t="s">
        <v>376</v>
      </c>
      <c r="AX121" s="1184" t="s">
        <v>377</v>
      </c>
      <c r="AY121" s="1181"/>
      <c r="AZ121" s="1182" t="s">
        <v>378</v>
      </c>
      <c r="BA121" s="1181"/>
      <c r="BB121" s="1220">
        <f>IF(AND(BI123="",BI128="",BI133="",BI138="",BI143=""),"",SUM(BI123:BI146))</f>
        <v>1</v>
      </c>
      <c r="BC121" s="1183" t="s">
        <v>379</v>
      </c>
      <c r="BD121" s="1185" t="s">
        <v>377</v>
      </c>
      <c r="BE121" s="1866" t="s">
        <v>380</v>
      </c>
      <c r="BF121" s="1867"/>
      <c r="BG121" s="1867"/>
      <c r="BH121" s="1867"/>
      <c r="BI121" s="1868"/>
      <c r="BJ121" s="1869" t="s">
        <v>389</v>
      </c>
      <c r="BK121" s="1869" t="s">
        <v>390</v>
      </c>
      <c r="BL121" s="1869" t="s">
        <v>391</v>
      </c>
      <c r="BM121" s="1869" t="s">
        <v>392</v>
      </c>
      <c r="BN121" s="1871" t="s">
        <v>393</v>
      </c>
    </row>
    <row r="122" spans="1:66" ht="13.5">
      <c r="B122" s="1186" t="s">
        <v>381</v>
      </c>
      <c r="C122" s="1187">
        <v>1</v>
      </c>
      <c r="D122" s="1218">
        <v>2</v>
      </c>
      <c r="E122" s="1188">
        <v>3</v>
      </c>
      <c r="F122" s="1188">
        <v>4</v>
      </c>
      <c r="G122" s="1188">
        <v>5</v>
      </c>
      <c r="H122" s="1188">
        <v>6</v>
      </c>
      <c r="I122" s="1218">
        <v>7</v>
      </c>
      <c r="J122" s="1218">
        <v>8</v>
      </c>
      <c r="K122" s="1218">
        <v>9</v>
      </c>
      <c r="L122" s="1219">
        <v>10</v>
      </c>
      <c r="M122" s="1189" t="s">
        <v>382</v>
      </c>
      <c r="N122" s="1190" t="s">
        <v>383</v>
      </c>
      <c r="O122" s="1191" t="s">
        <v>384</v>
      </c>
      <c r="P122" s="1192" t="s">
        <v>385</v>
      </c>
      <c r="Q122" s="1193" t="s">
        <v>386</v>
      </c>
      <c r="R122" s="1870"/>
      <c r="S122" s="1870"/>
      <c r="T122" s="1870"/>
      <c r="U122" s="1870"/>
      <c r="V122" s="1872"/>
      <c r="X122" s="1186" t="s">
        <v>381</v>
      </c>
      <c r="Y122" s="1187">
        <v>1</v>
      </c>
      <c r="Z122" s="1218">
        <v>2</v>
      </c>
      <c r="AA122" s="1188">
        <v>3</v>
      </c>
      <c r="AB122" s="1188">
        <v>4</v>
      </c>
      <c r="AC122" s="1188">
        <v>5</v>
      </c>
      <c r="AD122" s="1188">
        <v>6</v>
      </c>
      <c r="AE122" s="1218">
        <v>7</v>
      </c>
      <c r="AF122" s="1218">
        <v>8</v>
      </c>
      <c r="AG122" s="1218">
        <v>9</v>
      </c>
      <c r="AH122" s="1219">
        <v>10</v>
      </c>
      <c r="AI122" s="1189" t="s">
        <v>382</v>
      </c>
      <c r="AJ122" s="1190" t="s">
        <v>383</v>
      </c>
      <c r="AK122" s="1191" t="s">
        <v>384</v>
      </c>
      <c r="AL122" s="1192" t="s">
        <v>385</v>
      </c>
      <c r="AM122" s="1193" t="s">
        <v>386</v>
      </c>
      <c r="AN122" s="1870"/>
      <c r="AO122" s="1870"/>
      <c r="AP122" s="1870"/>
      <c r="AQ122" s="1870"/>
      <c r="AR122" s="1872"/>
      <c r="AT122" s="1186" t="s">
        <v>381</v>
      </c>
      <c r="AU122" s="1187">
        <v>1</v>
      </c>
      <c r="AV122" s="1218">
        <v>2</v>
      </c>
      <c r="AW122" s="1188">
        <v>3</v>
      </c>
      <c r="AX122" s="1188">
        <v>4</v>
      </c>
      <c r="AY122" s="1188">
        <v>5</v>
      </c>
      <c r="AZ122" s="1188">
        <v>6</v>
      </c>
      <c r="BA122" s="1218">
        <v>7</v>
      </c>
      <c r="BB122" s="1218">
        <v>8</v>
      </c>
      <c r="BC122" s="1218">
        <v>9</v>
      </c>
      <c r="BD122" s="1219">
        <v>10</v>
      </c>
      <c r="BE122" s="1189" t="s">
        <v>382</v>
      </c>
      <c r="BF122" s="1190" t="s">
        <v>383</v>
      </c>
      <c r="BG122" s="1191" t="s">
        <v>384</v>
      </c>
      <c r="BH122" s="1192" t="s">
        <v>385</v>
      </c>
      <c r="BI122" s="1193" t="s">
        <v>386</v>
      </c>
      <c r="BJ122" s="1870"/>
      <c r="BK122" s="1870"/>
      <c r="BL122" s="1870"/>
      <c r="BM122" s="1870"/>
      <c r="BN122" s="1872"/>
    </row>
    <row r="123" spans="1:66" ht="14.25" customHeight="1">
      <c r="A123" s="1660" t="s">
        <v>529</v>
      </c>
      <c r="B123" s="1194" t="s">
        <v>387</v>
      </c>
      <c r="C123" s="1195">
        <v>0</v>
      </c>
      <c r="D123" s="1196"/>
      <c r="E123" s="1196"/>
      <c r="F123" s="1196"/>
      <c r="G123" s="1196"/>
      <c r="H123" s="1196"/>
      <c r="I123" s="1196"/>
      <c r="J123" s="1196"/>
      <c r="K123" s="1196"/>
      <c r="L123" s="1197"/>
      <c r="M123" s="1858">
        <f>SUM(C123:L123)</f>
        <v>0</v>
      </c>
      <c r="N123" s="1860">
        <f>SUM(C124:L124)</f>
        <v>0</v>
      </c>
      <c r="O123" s="1860">
        <f>SUM(C125:L125)</f>
        <v>0</v>
      </c>
      <c r="P123" s="1862">
        <f>SUM(C126:L126)</f>
        <v>0</v>
      </c>
      <c r="Q123" s="1854">
        <f>IF(G120="","",SUM(N123:P127))</f>
        <v>0</v>
      </c>
      <c r="R123" s="1856"/>
      <c r="S123" s="1856"/>
      <c r="T123" s="1856"/>
      <c r="U123" s="1856"/>
      <c r="V123" s="1864" t="s">
        <v>394</v>
      </c>
      <c r="X123" s="1194" t="s">
        <v>387</v>
      </c>
      <c r="Y123" s="1195">
        <v>0</v>
      </c>
      <c r="Z123" s="1196"/>
      <c r="AA123" s="1196"/>
      <c r="AB123" s="1196"/>
      <c r="AC123" s="1196"/>
      <c r="AD123" s="1196"/>
      <c r="AE123" s="1196"/>
      <c r="AF123" s="1196"/>
      <c r="AG123" s="1196"/>
      <c r="AH123" s="1197"/>
      <c r="AI123" s="1858">
        <f>SUM(Y123:AH123)</f>
        <v>0</v>
      </c>
      <c r="AJ123" s="1860">
        <f>SUM(Y124:AH124)</f>
        <v>0</v>
      </c>
      <c r="AK123" s="1860">
        <f>SUM(Y125:AH125)</f>
        <v>0</v>
      </c>
      <c r="AL123" s="1862">
        <f>SUM(Y126:AH126)</f>
        <v>0</v>
      </c>
      <c r="AM123" s="1854">
        <f>IF(AC120="","",SUM(AJ123:AL127))</f>
        <v>0</v>
      </c>
      <c r="AN123" s="1856"/>
      <c r="AO123" s="1856"/>
      <c r="AP123" s="1856"/>
      <c r="AQ123" s="1856"/>
      <c r="AR123" s="1864" t="s">
        <v>394</v>
      </c>
      <c r="AT123" s="1194" t="s">
        <v>387</v>
      </c>
      <c r="AU123" s="1195">
        <v>0</v>
      </c>
      <c r="AV123" s="1196"/>
      <c r="AW123" s="1196"/>
      <c r="AX123" s="1196"/>
      <c r="AY123" s="1196"/>
      <c r="AZ123" s="1196"/>
      <c r="BA123" s="1196"/>
      <c r="BB123" s="1196"/>
      <c r="BC123" s="1196"/>
      <c r="BD123" s="1197"/>
      <c r="BE123" s="1858">
        <f>SUM(AU123:BD123)</f>
        <v>0</v>
      </c>
      <c r="BF123" s="1860">
        <f>SUM(AU124:BD124)</f>
        <v>0</v>
      </c>
      <c r="BG123" s="1860">
        <f>SUM(AU125:BD125)</f>
        <v>0</v>
      </c>
      <c r="BH123" s="1862">
        <f>SUM(AU126:BD126)</f>
        <v>1</v>
      </c>
      <c r="BI123" s="1854">
        <f>IF(AY120="","",SUM(BF123:BH127))</f>
        <v>1</v>
      </c>
      <c r="BJ123" s="1856"/>
      <c r="BK123" s="1856"/>
      <c r="BL123" s="1856"/>
      <c r="BM123" s="1856"/>
      <c r="BN123" s="1864" t="s">
        <v>394</v>
      </c>
    </row>
    <row r="124" spans="1:66" ht="13.5">
      <c r="B124" s="1198" t="s">
        <v>383</v>
      </c>
      <c r="C124" s="1199">
        <v>0</v>
      </c>
      <c r="D124" s="1200"/>
      <c r="E124" s="1200"/>
      <c r="F124" s="1200"/>
      <c r="G124" s="1200"/>
      <c r="H124" s="1200"/>
      <c r="I124" s="1200"/>
      <c r="J124" s="1200"/>
      <c r="K124" s="1200"/>
      <c r="L124" s="1201"/>
      <c r="M124" s="1843"/>
      <c r="N124" s="1846"/>
      <c r="O124" s="1846"/>
      <c r="P124" s="1849"/>
      <c r="Q124" s="1852"/>
      <c r="R124" s="1840"/>
      <c r="S124" s="1840"/>
      <c r="T124" s="1840"/>
      <c r="U124" s="1840"/>
      <c r="V124" s="1837"/>
      <c r="X124" s="1198" t="s">
        <v>383</v>
      </c>
      <c r="Y124" s="1199">
        <v>0</v>
      </c>
      <c r="Z124" s="1200"/>
      <c r="AA124" s="1200"/>
      <c r="AB124" s="1200"/>
      <c r="AC124" s="1200"/>
      <c r="AD124" s="1200"/>
      <c r="AE124" s="1200"/>
      <c r="AF124" s="1200"/>
      <c r="AG124" s="1200"/>
      <c r="AH124" s="1201"/>
      <c r="AI124" s="1843"/>
      <c r="AJ124" s="1846"/>
      <c r="AK124" s="1846"/>
      <c r="AL124" s="1849"/>
      <c r="AM124" s="1852"/>
      <c r="AN124" s="1840"/>
      <c r="AO124" s="1840"/>
      <c r="AP124" s="1840"/>
      <c r="AQ124" s="1840"/>
      <c r="AR124" s="1837"/>
      <c r="AT124" s="1198" t="s">
        <v>383</v>
      </c>
      <c r="AU124" s="1199">
        <v>0</v>
      </c>
      <c r="AV124" s="1200"/>
      <c r="AW124" s="1200"/>
      <c r="AX124" s="1200"/>
      <c r="AY124" s="1200"/>
      <c r="AZ124" s="1200"/>
      <c r="BA124" s="1200"/>
      <c r="BB124" s="1200"/>
      <c r="BC124" s="1200"/>
      <c r="BD124" s="1201"/>
      <c r="BE124" s="1843"/>
      <c r="BF124" s="1846"/>
      <c r="BG124" s="1846"/>
      <c r="BH124" s="1849"/>
      <c r="BI124" s="1852"/>
      <c r="BJ124" s="1840"/>
      <c r="BK124" s="1840"/>
      <c r="BL124" s="1840"/>
      <c r="BM124" s="1840"/>
      <c r="BN124" s="1837"/>
    </row>
    <row r="125" spans="1:66" ht="13.5">
      <c r="B125" s="1202" t="s">
        <v>384</v>
      </c>
      <c r="C125" s="1203">
        <v>0</v>
      </c>
      <c r="D125" s="1204"/>
      <c r="E125" s="1204"/>
      <c r="F125" s="1204"/>
      <c r="G125" s="1204"/>
      <c r="H125" s="1204"/>
      <c r="I125" s="1204"/>
      <c r="J125" s="1204"/>
      <c r="K125" s="1204"/>
      <c r="L125" s="1205"/>
      <c r="M125" s="1843"/>
      <c r="N125" s="1846"/>
      <c r="O125" s="1846"/>
      <c r="P125" s="1849"/>
      <c r="Q125" s="1852"/>
      <c r="R125" s="1840"/>
      <c r="S125" s="1840"/>
      <c r="T125" s="1840"/>
      <c r="U125" s="1840"/>
      <c r="V125" s="1837"/>
      <c r="X125" s="1202" t="s">
        <v>384</v>
      </c>
      <c r="Y125" s="1203">
        <v>0</v>
      </c>
      <c r="Z125" s="1204"/>
      <c r="AA125" s="1204"/>
      <c r="AB125" s="1204"/>
      <c r="AC125" s="1204"/>
      <c r="AD125" s="1204"/>
      <c r="AE125" s="1204"/>
      <c r="AF125" s="1204"/>
      <c r="AG125" s="1204"/>
      <c r="AH125" s="1205"/>
      <c r="AI125" s="1843"/>
      <c r="AJ125" s="1846"/>
      <c r="AK125" s="1846"/>
      <c r="AL125" s="1849"/>
      <c r="AM125" s="1852"/>
      <c r="AN125" s="1840"/>
      <c r="AO125" s="1840"/>
      <c r="AP125" s="1840"/>
      <c r="AQ125" s="1840"/>
      <c r="AR125" s="1837"/>
      <c r="AT125" s="1202" t="s">
        <v>384</v>
      </c>
      <c r="AU125" s="1203">
        <v>0</v>
      </c>
      <c r="AV125" s="1204"/>
      <c r="AW125" s="1204"/>
      <c r="AX125" s="1204"/>
      <c r="AY125" s="1204"/>
      <c r="AZ125" s="1204"/>
      <c r="BA125" s="1204"/>
      <c r="BB125" s="1204"/>
      <c r="BC125" s="1204"/>
      <c r="BD125" s="1205"/>
      <c r="BE125" s="1843"/>
      <c r="BF125" s="1846"/>
      <c r="BG125" s="1846"/>
      <c r="BH125" s="1849"/>
      <c r="BI125" s="1852"/>
      <c r="BJ125" s="1840"/>
      <c r="BK125" s="1840"/>
      <c r="BL125" s="1840"/>
      <c r="BM125" s="1840"/>
      <c r="BN125" s="1837"/>
    </row>
    <row r="126" spans="1:66" ht="13.5">
      <c r="B126" s="1206" t="s">
        <v>385</v>
      </c>
      <c r="C126" s="1207">
        <v>0</v>
      </c>
      <c r="D126" s="1208"/>
      <c r="E126" s="1208"/>
      <c r="F126" s="1208"/>
      <c r="G126" s="1208"/>
      <c r="H126" s="1208"/>
      <c r="I126" s="1208"/>
      <c r="J126" s="1208"/>
      <c r="K126" s="1208"/>
      <c r="L126" s="1209"/>
      <c r="M126" s="1843"/>
      <c r="N126" s="1846"/>
      <c r="O126" s="1846"/>
      <c r="P126" s="1849"/>
      <c r="Q126" s="1852"/>
      <c r="R126" s="1840"/>
      <c r="S126" s="1840"/>
      <c r="T126" s="1840"/>
      <c r="U126" s="1840"/>
      <c r="V126" s="1837"/>
      <c r="X126" s="1206" t="s">
        <v>385</v>
      </c>
      <c r="Y126" s="1207">
        <v>0</v>
      </c>
      <c r="Z126" s="1208"/>
      <c r="AA126" s="1208"/>
      <c r="AB126" s="1208"/>
      <c r="AC126" s="1208"/>
      <c r="AD126" s="1208"/>
      <c r="AE126" s="1208"/>
      <c r="AF126" s="1208"/>
      <c r="AG126" s="1208"/>
      <c r="AH126" s="1209"/>
      <c r="AI126" s="1843"/>
      <c r="AJ126" s="1846"/>
      <c r="AK126" s="1846"/>
      <c r="AL126" s="1849"/>
      <c r="AM126" s="1852"/>
      <c r="AN126" s="1840"/>
      <c r="AO126" s="1840"/>
      <c r="AP126" s="1840"/>
      <c r="AQ126" s="1840"/>
      <c r="AR126" s="1837"/>
      <c r="AT126" s="1206" t="s">
        <v>385</v>
      </c>
      <c r="AU126" s="1207">
        <v>1</v>
      </c>
      <c r="AV126" s="1208"/>
      <c r="AW126" s="1208"/>
      <c r="AX126" s="1208"/>
      <c r="AY126" s="1208"/>
      <c r="AZ126" s="1208"/>
      <c r="BA126" s="1208"/>
      <c r="BB126" s="1208"/>
      <c r="BC126" s="1208"/>
      <c r="BD126" s="1209"/>
      <c r="BE126" s="1843"/>
      <c r="BF126" s="1846"/>
      <c r="BG126" s="1846"/>
      <c r="BH126" s="1849"/>
      <c r="BI126" s="1852"/>
      <c r="BJ126" s="1840"/>
      <c r="BK126" s="1840"/>
      <c r="BL126" s="1840"/>
      <c r="BM126" s="1840"/>
      <c r="BN126" s="1837"/>
    </row>
    <row r="127" spans="1:66" ht="14" thickBot="1">
      <c r="B127" s="1210" t="s">
        <v>388</v>
      </c>
      <c r="C127" s="1221" t="str">
        <f>IF(OR(C124&gt;0,C125&gt;0,C126&gt;0),1,"")</f>
        <v/>
      </c>
      <c r="D127" s="1222" t="str">
        <f>IF(OR(D124&gt;0,D125&gt;0,D126&gt;0),1,"")</f>
        <v/>
      </c>
      <c r="E127" s="1222" t="str">
        <f t="shared" ref="E127:L127" si="60">IF(OR(E124&gt;0,E125&gt;0,E126&gt;0),1,"")</f>
        <v/>
      </c>
      <c r="F127" s="1222" t="str">
        <f t="shared" si="60"/>
        <v/>
      </c>
      <c r="G127" s="1222" t="str">
        <f t="shared" si="60"/>
        <v/>
      </c>
      <c r="H127" s="1222" t="str">
        <f t="shared" si="60"/>
        <v/>
      </c>
      <c r="I127" s="1222" t="str">
        <f t="shared" si="60"/>
        <v/>
      </c>
      <c r="J127" s="1222" t="str">
        <f t="shared" si="60"/>
        <v/>
      </c>
      <c r="K127" s="1222" t="str">
        <f t="shared" si="60"/>
        <v/>
      </c>
      <c r="L127" s="1222" t="str">
        <f t="shared" si="60"/>
        <v/>
      </c>
      <c r="M127" s="1859"/>
      <c r="N127" s="1861"/>
      <c r="O127" s="1861"/>
      <c r="P127" s="1863"/>
      <c r="Q127" s="1855"/>
      <c r="R127" s="1857"/>
      <c r="S127" s="1857"/>
      <c r="T127" s="1857"/>
      <c r="U127" s="1857"/>
      <c r="V127" s="1865"/>
      <c r="X127" s="1210" t="s">
        <v>388</v>
      </c>
      <c r="Y127" s="1221" t="str">
        <f>IF(OR(Y124&gt;0,Y125&gt;0,Y126&gt;0),1,"")</f>
        <v/>
      </c>
      <c r="Z127" s="1222" t="str">
        <f>IF(OR(Z124&gt;0,Z125&gt;0,Z126&gt;0),1,"")</f>
        <v/>
      </c>
      <c r="AA127" s="1222" t="str">
        <f t="shared" ref="AA127:AH127" si="61">IF(OR(AA124&gt;0,AA125&gt;0,AA126&gt;0),1,"")</f>
        <v/>
      </c>
      <c r="AB127" s="1222" t="str">
        <f t="shared" si="61"/>
        <v/>
      </c>
      <c r="AC127" s="1222" t="str">
        <f t="shared" si="61"/>
        <v/>
      </c>
      <c r="AD127" s="1222" t="str">
        <f t="shared" si="61"/>
        <v/>
      </c>
      <c r="AE127" s="1222" t="str">
        <f t="shared" si="61"/>
        <v/>
      </c>
      <c r="AF127" s="1222" t="str">
        <f t="shared" si="61"/>
        <v/>
      </c>
      <c r="AG127" s="1222" t="str">
        <f t="shared" si="61"/>
        <v/>
      </c>
      <c r="AH127" s="1222" t="str">
        <f t="shared" si="61"/>
        <v/>
      </c>
      <c r="AI127" s="1859"/>
      <c r="AJ127" s="1861"/>
      <c r="AK127" s="1861"/>
      <c r="AL127" s="1863"/>
      <c r="AM127" s="1855"/>
      <c r="AN127" s="1857"/>
      <c r="AO127" s="1857"/>
      <c r="AP127" s="1857"/>
      <c r="AQ127" s="1857"/>
      <c r="AR127" s="1865"/>
      <c r="AT127" s="1210" t="s">
        <v>388</v>
      </c>
      <c r="AU127" s="1221">
        <f>IF(OR(AU124&gt;0,AU125&gt;0,AU126&gt;0),1,"")</f>
        <v>1</v>
      </c>
      <c r="AV127" s="1222" t="str">
        <f>IF(OR(AV124&gt;0,AV125&gt;0,AV126&gt;0),1,"")</f>
        <v/>
      </c>
      <c r="AW127" s="1222" t="str">
        <f t="shared" ref="AW127:BD127" si="62">IF(OR(AW124&gt;0,AW125&gt;0,AW126&gt;0),1,"")</f>
        <v/>
      </c>
      <c r="AX127" s="1222" t="str">
        <f t="shared" si="62"/>
        <v/>
      </c>
      <c r="AY127" s="1222" t="str">
        <f t="shared" si="62"/>
        <v/>
      </c>
      <c r="AZ127" s="1222" t="str">
        <f t="shared" si="62"/>
        <v/>
      </c>
      <c r="BA127" s="1222" t="str">
        <f t="shared" si="62"/>
        <v/>
      </c>
      <c r="BB127" s="1222" t="str">
        <f t="shared" si="62"/>
        <v/>
      </c>
      <c r="BC127" s="1222" t="str">
        <f t="shared" si="62"/>
        <v/>
      </c>
      <c r="BD127" s="1222" t="str">
        <f t="shared" si="62"/>
        <v/>
      </c>
      <c r="BE127" s="1859"/>
      <c r="BF127" s="1861"/>
      <c r="BG127" s="1861"/>
      <c r="BH127" s="1863"/>
      <c r="BI127" s="1855"/>
      <c r="BJ127" s="1857"/>
      <c r="BK127" s="1857"/>
      <c r="BL127" s="1857"/>
      <c r="BM127" s="1857"/>
      <c r="BN127" s="1865"/>
    </row>
    <row r="128" spans="1:66" ht="15" customHeight="1" thickTop="1">
      <c r="A128" s="1660" t="s">
        <v>530</v>
      </c>
      <c r="B128" s="1211" t="s">
        <v>387</v>
      </c>
      <c r="C128" s="1212"/>
      <c r="D128" s="1213"/>
      <c r="E128" s="1213"/>
      <c r="F128" s="1213"/>
      <c r="G128" s="1213"/>
      <c r="H128" s="1213"/>
      <c r="I128" s="1213"/>
      <c r="J128" s="1213"/>
      <c r="K128" s="1213"/>
      <c r="L128" s="1214"/>
      <c r="M128" s="1858">
        <f>SUM(C128:L128)</f>
        <v>0</v>
      </c>
      <c r="N128" s="1860">
        <f>SUM(C129:L129)</f>
        <v>0</v>
      </c>
      <c r="O128" s="1860">
        <f>SUM(C130:L130)</f>
        <v>0</v>
      </c>
      <c r="P128" s="1862">
        <f>SUM(C131:L131)</f>
        <v>0</v>
      </c>
      <c r="Q128" s="1854">
        <f>IF(G120="","",SUM(N128:P132))</f>
        <v>0</v>
      </c>
      <c r="R128" s="1856"/>
      <c r="S128" s="1856"/>
      <c r="T128" s="1856"/>
      <c r="U128" s="1856"/>
      <c r="V128" s="1864" t="s">
        <v>395</v>
      </c>
      <c r="X128" s="1211" t="s">
        <v>387</v>
      </c>
      <c r="Y128" s="1212"/>
      <c r="Z128" s="1213"/>
      <c r="AA128" s="1213"/>
      <c r="AB128" s="1213"/>
      <c r="AC128" s="1213"/>
      <c r="AD128" s="1213"/>
      <c r="AE128" s="1213"/>
      <c r="AF128" s="1213"/>
      <c r="AG128" s="1213"/>
      <c r="AH128" s="1214"/>
      <c r="AI128" s="1858">
        <f>SUM(Y128:AH128)</f>
        <v>0</v>
      </c>
      <c r="AJ128" s="1860">
        <f>SUM(Y129:AH129)</f>
        <v>0</v>
      </c>
      <c r="AK128" s="1860">
        <f>SUM(Y130:AH130)</f>
        <v>0</v>
      </c>
      <c r="AL128" s="1862">
        <f>SUM(Y131:AH131)</f>
        <v>0</v>
      </c>
      <c r="AM128" s="1854">
        <f>IF(AC120="","",SUM(AJ128:AL132))</f>
        <v>0</v>
      </c>
      <c r="AN128" s="1856"/>
      <c r="AO128" s="1856"/>
      <c r="AP128" s="1856"/>
      <c r="AQ128" s="1856"/>
      <c r="AR128" s="1864" t="s">
        <v>395</v>
      </c>
      <c r="AT128" s="1211" t="s">
        <v>387</v>
      </c>
      <c r="AU128" s="1212"/>
      <c r="AV128" s="1213"/>
      <c r="AW128" s="1213"/>
      <c r="AX128" s="1213"/>
      <c r="AY128" s="1213"/>
      <c r="AZ128" s="1213"/>
      <c r="BA128" s="1213"/>
      <c r="BB128" s="1213"/>
      <c r="BC128" s="1213"/>
      <c r="BD128" s="1214"/>
      <c r="BE128" s="1858">
        <f>SUM(AU128:BD128)</f>
        <v>0</v>
      </c>
      <c r="BF128" s="1860">
        <f>SUM(AU129:BD129)</f>
        <v>0</v>
      </c>
      <c r="BG128" s="1860">
        <f>SUM(AU130:BD130)</f>
        <v>0</v>
      </c>
      <c r="BH128" s="1862">
        <f>SUM(AU131:BD131)</f>
        <v>0</v>
      </c>
      <c r="BI128" s="1854">
        <f>IF(AY120="","",SUM(BF128:BH132))</f>
        <v>0</v>
      </c>
      <c r="BJ128" s="1856"/>
      <c r="BK128" s="1856"/>
      <c r="BL128" s="1856"/>
      <c r="BM128" s="1856"/>
      <c r="BN128" s="1864" t="s">
        <v>395</v>
      </c>
    </row>
    <row r="129" spans="1:66" ht="13.5">
      <c r="B129" s="1198" t="s">
        <v>383</v>
      </c>
      <c r="C129" s="1199"/>
      <c r="D129" s="1200"/>
      <c r="E129" s="1200"/>
      <c r="F129" s="1200"/>
      <c r="G129" s="1200"/>
      <c r="H129" s="1200"/>
      <c r="I129" s="1200"/>
      <c r="J129" s="1200"/>
      <c r="K129" s="1200"/>
      <c r="L129" s="1201"/>
      <c r="M129" s="1843"/>
      <c r="N129" s="1846"/>
      <c r="O129" s="1846"/>
      <c r="P129" s="1849"/>
      <c r="Q129" s="1852"/>
      <c r="R129" s="1840"/>
      <c r="S129" s="1840"/>
      <c r="T129" s="1840"/>
      <c r="U129" s="1840"/>
      <c r="V129" s="1837"/>
      <c r="X129" s="1198" t="s">
        <v>383</v>
      </c>
      <c r="Y129" s="1199"/>
      <c r="Z129" s="1200"/>
      <c r="AA129" s="1200"/>
      <c r="AB129" s="1200"/>
      <c r="AC129" s="1200"/>
      <c r="AD129" s="1200"/>
      <c r="AE129" s="1200"/>
      <c r="AF129" s="1200"/>
      <c r="AG129" s="1200"/>
      <c r="AH129" s="1201"/>
      <c r="AI129" s="1843"/>
      <c r="AJ129" s="1846"/>
      <c r="AK129" s="1846"/>
      <c r="AL129" s="1849"/>
      <c r="AM129" s="1852"/>
      <c r="AN129" s="1840"/>
      <c r="AO129" s="1840"/>
      <c r="AP129" s="1840"/>
      <c r="AQ129" s="1840"/>
      <c r="AR129" s="1837"/>
      <c r="AT129" s="1198" t="s">
        <v>383</v>
      </c>
      <c r="AU129" s="1199"/>
      <c r="AV129" s="1200"/>
      <c r="AW129" s="1200"/>
      <c r="AX129" s="1200"/>
      <c r="AY129" s="1200"/>
      <c r="AZ129" s="1200"/>
      <c r="BA129" s="1200"/>
      <c r="BB129" s="1200"/>
      <c r="BC129" s="1200"/>
      <c r="BD129" s="1201"/>
      <c r="BE129" s="1843"/>
      <c r="BF129" s="1846"/>
      <c r="BG129" s="1846"/>
      <c r="BH129" s="1849"/>
      <c r="BI129" s="1852"/>
      <c r="BJ129" s="1840"/>
      <c r="BK129" s="1840"/>
      <c r="BL129" s="1840"/>
      <c r="BM129" s="1840"/>
      <c r="BN129" s="1837"/>
    </row>
    <row r="130" spans="1:66" ht="13.5">
      <c r="B130" s="1202" t="s">
        <v>384</v>
      </c>
      <c r="C130" s="1203"/>
      <c r="D130" s="1204"/>
      <c r="E130" s="1204"/>
      <c r="F130" s="1204"/>
      <c r="G130" s="1204"/>
      <c r="H130" s="1204"/>
      <c r="I130" s="1204"/>
      <c r="J130" s="1204"/>
      <c r="K130" s="1204"/>
      <c r="L130" s="1205"/>
      <c r="M130" s="1843"/>
      <c r="N130" s="1846"/>
      <c r="O130" s="1846"/>
      <c r="P130" s="1849"/>
      <c r="Q130" s="1852"/>
      <c r="R130" s="1840"/>
      <c r="S130" s="1840"/>
      <c r="T130" s="1840"/>
      <c r="U130" s="1840"/>
      <c r="V130" s="1837"/>
      <c r="X130" s="1202" t="s">
        <v>384</v>
      </c>
      <c r="Y130" s="1203"/>
      <c r="Z130" s="1204"/>
      <c r="AA130" s="1204"/>
      <c r="AB130" s="1204"/>
      <c r="AC130" s="1204"/>
      <c r="AD130" s="1204"/>
      <c r="AE130" s="1204"/>
      <c r="AF130" s="1204"/>
      <c r="AG130" s="1204"/>
      <c r="AH130" s="1205"/>
      <c r="AI130" s="1843"/>
      <c r="AJ130" s="1846"/>
      <c r="AK130" s="1846"/>
      <c r="AL130" s="1849"/>
      <c r="AM130" s="1852"/>
      <c r="AN130" s="1840"/>
      <c r="AO130" s="1840"/>
      <c r="AP130" s="1840"/>
      <c r="AQ130" s="1840"/>
      <c r="AR130" s="1837"/>
      <c r="AT130" s="1202" t="s">
        <v>384</v>
      </c>
      <c r="AU130" s="1203"/>
      <c r="AV130" s="1204"/>
      <c r="AW130" s="1204"/>
      <c r="AX130" s="1204"/>
      <c r="AY130" s="1204"/>
      <c r="AZ130" s="1204"/>
      <c r="BA130" s="1204"/>
      <c r="BB130" s="1204"/>
      <c r="BC130" s="1204"/>
      <c r="BD130" s="1205"/>
      <c r="BE130" s="1843"/>
      <c r="BF130" s="1846"/>
      <c r="BG130" s="1846"/>
      <c r="BH130" s="1849"/>
      <c r="BI130" s="1852"/>
      <c r="BJ130" s="1840"/>
      <c r="BK130" s="1840"/>
      <c r="BL130" s="1840"/>
      <c r="BM130" s="1840"/>
      <c r="BN130" s="1837"/>
    </row>
    <row r="131" spans="1:66" ht="13.5">
      <c r="B131" s="1202" t="s">
        <v>385</v>
      </c>
      <c r="C131" s="1203"/>
      <c r="D131" s="1204"/>
      <c r="E131" s="1204"/>
      <c r="F131" s="1204"/>
      <c r="G131" s="1204"/>
      <c r="H131" s="1204"/>
      <c r="I131" s="1204"/>
      <c r="J131" s="1204"/>
      <c r="K131" s="1204"/>
      <c r="L131" s="1205"/>
      <c r="M131" s="1843"/>
      <c r="N131" s="1846"/>
      <c r="O131" s="1846"/>
      <c r="P131" s="1849"/>
      <c r="Q131" s="1852"/>
      <c r="R131" s="1840"/>
      <c r="S131" s="1840"/>
      <c r="T131" s="1840"/>
      <c r="U131" s="1840"/>
      <c r="V131" s="1837"/>
      <c r="X131" s="1202" t="s">
        <v>385</v>
      </c>
      <c r="Y131" s="1203"/>
      <c r="Z131" s="1204"/>
      <c r="AA131" s="1204"/>
      <c r="AB131" s="1204"/>
      <c r="AC131" s="1204"/>
      <c r="AD131" s="1204"/>
      <c r="AE131" s="1204"/>
      <c r="AF131" s="1204"/>
      <c r="AG131" s="1204"/>
      <c r="AH131" s="1205"/>
      <c r="AI131" s="1843"/>
      <c r="AJ131" s="1846"/>
      <c r="AK131" s="1846"/>
      <c r="AL131" s="1849"/>
      <c r="AM131" s="1852"/>
      <c r="AN131" s="1840"/>
      <c r="AO131" s="1840"/>
      <c r="AP131" s="1840"/>
      <c r="AQ131" s="1840"/>
      <c r="AR131" s="1837"/>
      <c r="AT131" s="1202" t="s">
        <v>385</v>
      </c>
      <c r="AU131" s="1203"/>
      <c r="AV131" s="1204"/>
      <c r="AW131" s="1204"/>
      <c r="AX131" s="1204"/>
      <c r="AY131" s="1204"/>
      <c r="AZ131" s="1204"/>
      <c r="BA131" s="1204"/>
      <c r="BB131" s="1204"/>
      <c r="BC131" s="1204"/>
      <c r="BD131" s="1205"/>
      <c r="BE131" s="1843"/>
      <c r="BF131" s="1846"/>
      <c r="BG131" s="1846"/>
      <c r="BH131" s="1849"/>
      <c r="BI131" s="1852"/>
      <c r="BJ131" s="1840"/>
      <c r="BK131" s="1840"/>
      <c r="BL131" s="1840"/>
      <c r="BM131" s="1840"/>
      <c r="BN131" s="1837"/>
    </row>
    <row r="132" spans="1:66" ht="14" thickBot="1">
      <c r="B132" s="1210" t="s">
        <v>388</v>
      </c>
      <c r="C132" s="1221" t="str">
        <f>IF(OR(C129&gt;0,C130&gt;0,C131&gt;0),1,"")</f>
        <v/>
      </c>
      <c r="D132" s="1222" t="str">
        <f>IF(OR(D129&gt;0,D130&gt;0,D131&gt;0),1,"")</f>
        <v/>
      </c>
      <c r="E132" s="1222" t="str">
        <f t="shared" ref="E132:L132" si="63">IF(OR(E129&gt;0,E130&gt;0,E131&gt;0),1,"")</f>
        <v/>
      </c>
      <c r="F132" s="1222" t="str">
        <f t="shared" si="63"/>
        <v/>
      </c>
      <c r="G132" s="1222" t="str">
        <f t="shared" si="63"/>
        <v/>
      </c>
      <c r="H132" s="1222" t="str">
        <f t="shared" si="63"/>
        <v/>
      </c>
      <c r="I132" s="1222" t="str">
        <f t="shared" si="63"/>
        <v/>
      </c>
      <c r="J132" s="1222" t="str">
        <f t="shared" si="63"/>
        <v/>
      </c>
      <c r="K132" s="1222" t="str">
        <f t="shared" si="63"/>
        <v/>
      </c>
      <c r="L132" s="1222" t="str">
        <f t="shared" si="63"/>
        <v/>
      </c>
      <c r="M132" s="1859"/>
      <c r="N132" s="1861"/>
      <c r="O132" s="1861"/>
      <c r="P132" s="1863"/>
      <c r="Q132" s="1855"/>
      <c r="R132" s="1857"/>
      <c r="S132" s="1857"/>
      <c r="T132" s="1857"/>
      <c r="U132" s="1857"/>
      <c r="V132" s="1865"/>
      <c r="X132" s="1210" t="s">
        <v>388</v>
      </c>
      <c r="Y132" s="1221" t="str">
        <f>IF(OR(Y129&gt;0,Y130&gt;0,Y131&gt;0),1,"")</f>
        <v/>
      </c>
      <c r="Z132" s="1222" t="str">
        <f>IF(OR(Z129&gt;0,Z130&gt;0,Z131&gt;0),1,"")</f>
        <v/>
      </c>
      <c r="AA132" s="1222" t="str">
        <f t="shared" ref="AA132:AH132" si="64">IF(OR(AA129&gt;0,AA130&gt;0,AA131&gt;0),1,"")</f>
        <v/>
      </c>
      <c r="AB132" s="1222" t="str">
        <f t="shared" si="64"/>
        <v/>
      </c>
      <c r="AC132" s="1222" t="str">
        <f t="shared" si="64"/>
        <v/>
      </c>
      <c r="AD132" s="1222" t="str">
        <f t="shared" si="64"/>
        <v/>
      </c>
      <c r="AE132" s="1222" t="str">
        <f t="shared" si="64"/>
        <v/>
      </c>
      <c r="AF132" s="1222" t="str">
        <f t="shared" si="64"/>
        <v/>
      </c>
      <c r="AG132" s="1222" t="str">
        <f t="shared" si="64"/>
        <v/>
      </c>
      <c r="AH132" s="1222" t="str">
        <f t="shared" si="64"/>
        <v/>
      </c>
      <c r="AI132" s="1859"/>
      <c r="AJ132" s="1861"/>
      <c r="AK132" s="1861"/>
      <c r="AL132" s="1863"/>
      <c r="AM132" s="1855"/>
      <c r="AN132" s="1857"/>
      <c r="AO132" s="1857"/>
      <c r="AP132" s="1857"/>
      <c r="AQ132" s="1857"/>
      <c r="AR132" s="1865"/>
      <c r="AT132" s="1210" t="s">
        <v>388</v>
      </c>
      <c r="AU132" s="1221" t="str">
        <f>IF(OR(AU129&gt;0,AU130&gt;0,AU131&gt;0),1,"")</f>
        <v/>
      </c>
      <c r="AV132" s="1222" t="str">
        <f>IF(OR(AV129&gt;0,AV130&gt;0,AV131&gt;0),1,"")</f>
        <v/>
      </c>
      <c r="AW132" s="1222" t="str">
        <f t="shared" ref="AW132:BD132" si="65">IF(OR(AW129&gt;0,AW130&gt;0,AW131&gt;0),1,"")</f>
        <v/>
      </c>
      <c r="AX132" s="1222" t="str">
        <f t="shared" si="65"/>
        <v/>
      </c>
      <c r="AY132" s="1222" t="str">
        <f t="shared" si="65"/>
        <v/>
      </c>
      <c r="AZ132" s="1222" t="str">
        <f t="shared" si="65"/>
        <v/>
      </c>
      <c r="BA132" s="1222" t="str">
        <f t="shared" si="65"/>
        <v/>
      </c>
      <c r="BB132" s="1222" t="str">
        <f t="shared" si="65"/>
        <v/>
      </c>
      <c r="BC132" s="1222" t="str">
        <f t="shared" si="65"/>
        <v/>
      </c>
      <c r="BD132" s="1222" t="str">
        <f t="shared" si="65"/>
        <v/>
      </c>
      <c r="BE132" s="1859"/>
      <c r="BF132" s="1861"/>
      <c r="BG132" s="1861"/>
      <c r="BH132" s="1863"/>
      <c r="BI132" s="1855"/>
      <c r="BJ132" s="1857"/>
      <c r="BK132" s="1857"/>
      <c r="BL132" s="1857"/>
      <c r="BM132" s="1857"/>
      <c r="BN132" s="1865"/>
    </row>
    <row r="133" spans="1:66" ht="15" customHeight="1" thickTop="1">
      <c r="A133" s="1660" t="s">
        <v>531</v>
      </c>
      <c r="B133" s="1194" t="s">
        <v>387</v>
      </c>
      <c r="C133" s="1195"/>
      <c r="D133" s="1196"/>
      <c r="E133" s="1196"/>
      <c r="F133" s="1196"/>
      <c r="G133" s="1196"/>
      <c r="H133" s="1196"/>
      <c r="I133" s="1196"/>
      <c r="J133" s="1196"/>
      <c r="K133" s="1196"/>
      <c r="L133" s="1197"/>
      <c r="M133" s="1858">
        <f>SUM(C133:L133)</f>
        <v>0</v>
      </c>
      <c r="N133" s="1860">
        <f>SUM(C134:L134)</f>
        <v>0</v>
      </c>
      <c r="O133" s="1860">
        <f>SUM(C135:L135)</f>
        <v>0</v>
      </c>
      <c r="P133" s="1862">
        <f>SUM(C136:L136)</f>
        <v>0</v>
      </c>
      <c r="Q133" s="1854">
        <f>IF(G120="","",SUM(N133:P137))</f>
        <v>0</v>
      </c>
      <c r="R133" s="1856"/>
      <c r="S133" s="1856"/>
      <c r="T133" s="1856"/>
      <c r="U133" s="1856"/>
      <c r="V133" s="1864" t="s">
        <v>395</v>
      </c>
      <c r="X133" s="1194" t="s">
        <v>387</v>
      </c>
      <c r="Y133" s="1195"/>
      <c r="Z133" s="1196"/>
      <c r="AA133" s="1196"/>
      <c r="AB133" s="1196"/>
      <c r="AC133" s="1196"/>
      <c r="AD133" s="1196"/>
      <c r="AE133" s="1196"/>
      <c r="AF133" s="1196"/>
      <c r="AG133" s="1196"/>
      <c r="AH133" s="1197"/>
      <c r="AI133" s="1858">
        <f>SUM(Y133:AH133)</f>
        <v>0</v>
      </c>
      <c r="AJ133" s="1860">
        <f>SUM(Y134:AH134)</f>
        <v>0</v>
      </c>
      <c r="AK133" s="1860">
        <f>SUM(Y135:AH135)</f>
        <v>0</v>
      </c>
      <c r="AL133" s="1862">
        <f>SUM(Y136:AH136)</f>
        <v>0</v>
      </c>
      <c r="AM133" s="1854">
        <f>IF(AC120="","",SUM(AJ133:AL137))</f>
        <v>0</v>
      </c>
      <c r="AN133" s="1856"/>
      <c r="AO133" s="1856"/>
      <c r="AP133" s="1856"/>
      <c r="AQ133" s="1856"/>
      <c r="AR133" s="1864" t="s">
        <v>395</v>
      </c>
      <c r="AT133" s="1194" t="s">
        <v>387</v>
      </c>
      <c r="AU133" s="1195"/>
      <c r="AV133" s="1196"/>
      <c r="AW133" s="1196"/>
      <c r="AX133" s="1196"/>
      <c r="AY133" s="1196"/>
      <c r="AZ133" s="1196"/>
      <c r="BA133" s="1196"/>
      <c r="BB133" s="1196"/>
      <c r="BC133" s="1196"/>
      <c r="BD133" s="1197"/>
      <c r="BE133" s="1858">
        <f>SUM(AU133:BD133)</f>
        <v>0</v>
      </c>
      <c r="BF133" s="1860">
        <f>SUM(AU134:BD134)</f>
        <v>0</v>
      </c>
      <c r="BG133" s="1860">
        <f>SUM(AU135:BD135)</f>
        <v>0</v>
      </c>
      <c r="BH133" s="1862">
        <f>SUM(AU136:BD136)</f>
        <v>0</v>
      </c>
      <c r="BI133" s="1854">
        <f>IF(AY120="","",SUM(BF133:BH137))</f>
        <v>0</v>
      </c>
      <c r="BJ133" s="1856"/>
      <c r="BK133" s="1856"/>
      <c r="BL133" s="1856"/>
      <c r="BM133" s="1856"/>
      <c r="BN133" s="1864" t="s">
        <v>395</v>
      </c>
    </row>
    <row r="134" spans="1:66" ht="13.5">
      <c r="B134" s="1198" t="s">
        <v>383</v>
      </c>
      <c r="C134" s="1199"/>
      <c r="D134" s="1200"/>
      <c r="E134" s="1200"/>
      <c r="F134" s="1200"/>
      <c r="G134" s="1200"/>
      <c r="H134" s="1200"/>
      <c r="I134" s="1200"/>
      <c r="J134" s="1200"/>
      <c r="K134" s="1200"/>
      <c r="L134" s="1201"/>
      <c r="M134" s="1843"/>
      <c r="N134" s="1846"/>
      <c r="O134" s="1846"/>
      <c r="P134" s="1849"/>
      <c r="Q134" s="1852"/>
      <c r="R134" s="1840"/>
      <c r="S134" s="1840"/>
      <c r="T134" s="1840"/>
      <c r="U134" s="1840"/>
      <c r="V134" s="1837"/>
      <c r="X134" s="1198" t="s">
        <v>383</v>
      </c>
      <c r="Y134" s="1199"/>
      <c r="Z134" s="1200"/>
      <c r="AA134" s="1200"/>
      <c r="AB134" s="1200"/>
      <c r="AC134" s="1200"/>
      <c r="AD134" s="1200"/>
      <c r="AE134" s="1200"/>
      <c r="AF134" s="1200"/>
      <c r="AG134" s="1200"/>
      <c r="AH134" s="1201"/>
      <c r="AI134" s="1843"/>
      <c r="AJ134" s="1846"/>
      <c r="AK134" s="1846"/>
      <c r="AL134" s="1849"/>
      <c r="AM134" s="1852"/>
      <c r="AN134" s="1840"/>
      <c r="AO134" s="1840"/>
      <c r="AP134" s="1840"/>
      <c r="AQ134" s="1840"/>
      <c r="AR134" s="1837"/>
      <c r="AT134" s="1198" t="s">
        <v>383</v>
      </c>
      <c r="AU134" s="1199"/>
      <c r="AV134" s="1200"/>
      <c r="AW134" s="1200"/>
      <c r="AX134" s="1200"/>
      <c r="AY134" s="1200"/>
      <c r="AZ134" s="1200"/>
      <c r="BA134" s="1200"/>
      <c r="BB134" s="1200"/>
      <c r="BC134" s="1200"/>
      <c r="BD134" s="1201"/>
      <c r="BE134" s="1843"/>
      <c r="BF134" s="1846"/>
      <c r="BG134" s="1846"/>
      <c r="BH134" s="1849"/>
      <c r="BI134" s="1852"/>
      <c r="BJ134" s="1840"/>
      <c r="BK134" s="1840"/>
      <c r="BL134" s="1840"/>
      <c r="BM134" s="1840"/>
      <c r="BN134" s="1837"/>
    </row>
    <row r="135" spans="1:66" ht="13.5">
      <c r="B135" s="1202" t="s">
        <v>384</v>
      </c>
      <c r="C135" s="1203"/>
      <c r="D135" s="1204"/>
      <c r="E135" s="1204"/>
      <c r="F135" s="1204"/>
      <c r="G135" s="1204"/>
      <c r="H135" s="1204"/>
      <c r="I135" s="1204"/>
      <c r="J135" s="1204"/>
      <c r="K135" s="1204"/>
      <c r="L135" s="1205"/>
      <c r="M135" s="1843"/>
      <c r="N135" s="1846"/>
      <c r="O135" s="1846"/>
      <c r="P135" s="1849"/>
      <c r="Q135" s="1852"/>
      <c r="R135" s="1840"/>
      <c r="S135" s="1840"/>
      <c r="T135" s="1840"/>
      <c r="U135" s="1840"/>
      <c r="V135" s="1837"/>
      <c r="X135" s="1202" t="s">
        <v>384</v>
      </c>
      <c r="Y135" s="1203"/>
      <c r="Z135" s="1204"/>
      <c r="AA135" s="1204"/>
      <c r="AB135" s="1204"/>
      <c r="AC135" s="1204"/>
      <c r="AD135" s="1204"/>
      <c r="AE135" s="1204"/>
      <c r="AF135" s="1204"/>
      <c r="AG135" s="1204"/>
      <c r="AH135" s="1205"/>
      <c r="AI135" s="1843"/>
      <c r="AJ135" s="1846"/>
      <c r="AK135" s="1846"/>
      <c r="AL135" s="1849"/>
      <c r="AM135" s="1852"/>
      <c r="AN135" s="1840"/>
      <c r="AO135" s="1840"/>
      <c r="AP135" s="1840"/>
      <c r="AQ135" s="1840"/>
      <c r="AR135" s="1837"/>
      <c r="AT135" s="1202" t="s">
        <v>384</v>
      </c>
      <c r="AU135" s="1203"/>
      <c r="AV135" s="1204"/>
      <c r="AW135" s="1204"/>
      <c r="AX135" s="1204"/>
      <c r="AY135" s="1204"/>
      <c r="AZ135" s="1204"/>
      <c r="BA135" s="1204"/>
      <c r="BB135" s="1204"/>
      <c r="BC135" s="1204"/>
      <c r="BD135" s="1205"/>
      <c r="BE135" s="1843"/>
      <c r="BF135" s="1846"/>
      <c r="BG135" s="1846"/>
      <c r="BH135" s="1849"/>
      <c r="BI135" s="1852"/>
      <c r="BJ135" s="1840"/>
      <c r="BK135" s="1840"/>
      <c r="BL135" s="1840"/>
      <c r="BM135" s="1840"/>
      <c r="BN135" s="1837"/>
    </row>
    <row r="136" spans="1:66" ht="13.5">
      <c r="B136" s="1206" t="s">
        <v>385</v>
      </c>
      <c r="C136" s="1207"/>
      <c r="D136" s="1208"/>
      <c r="E136" s="1208"/>
      <c r="F136" s="1208"/>
      <c r="G136" s="1208"/>
      <c r="H136" s="1208"/>
      <c r="I136" s="1208"/>
      <c r="J136" s="1208"/>
      <c r="K136" s="1208"/>
      <c r="L136" s="1209"/>
      <c r="M136" s="1843"/>
      <c r="N136" s="1846"/>
      <c r="O136" s="1846"/>
      <c r="P136" s="1849"/>
      <c r="Q136" s="1852"/>
      <c r="R136" s="1840"/>
      <c r="S136" s="1840"/>
      <c r="T136" s="1840"/>
      <c r="U136" s="1840"/>
      <c r="V136" s="1837"/>
      <c r="X136" s="1206" t="s">
        <v>385</v>
      </c>
      <c r="Y136" s="1207"/>
      <c r="Z136" s="1208"/>
      <c r="AA136" s="1208"/>
      <c r="AB136" s="1208"/>
      <c r="AC136" s="1208"/>
      <c r="AD136" s="1208"/>
      <c r="AE136" s="1208"/>
      <c r="AF136" s="1208"/>
      <c r="AG136" s="1208"/>
      <c r="AH136" s="1209"/>
      <c r="AI136" s="1843"/>
      <c r="AJ136" s="1846"/>
      <c r="AK136" s="1846"/>
      <c r="AL136" s="1849"/>
      <c r="AM136" s="1852"/>
      <c r="AN136" s="1840"/>
      <c r="AO136" s="1840"/>
      <c r="AP136" s="1840"/>
      <c r="AQ136" s="1840"/>
      <c r="AR136" s="1837"/>
      <c r="AT136" s="1206" t="s">
        <v>385</v>
      </c>
      <c r="AU136" s="1207"/>
      <c r="AV136" s="1208"/>
      <c r="AW136" s="1208"/>
      <c r="AX136" s="1208"/>
      <c r="AY136" s="1208"/>
      <c r="AZ136" s="1208"/>
      <c r="BA136" s="1208"/>
      <c r="BB136" s="1208"/>
      <c r="BC136" s="1208"/>
      <c r="BD136" s="1209"/>
      <c r="BE136" s="1843"/>
      <c r="BF136" s="1846"/>
      <c r="BG136" s="1846"/>
      <c r="BH136" s="1849"/>
      <c r="BI136" s="1852"/>
      <c r="BJ136" s="1840"/>
      <c r="BK136" s="1840"/>
      <c r="BL136" s="1840"/>
      <c r="BM136" s="1840"/>
      <c r="BN136" s="1837"/>
    </row>
    <row r="137" spans="1:66" ht="14" thickBot="1">
      <c r="B137" s="1210" t="s">
        <v>388</v>
      </c>
      <c r="C137" s="1221" t="str">
        <f>IF(OR(C134&gt;0,C135&gt;0,C136&gt;0),1,"")</f>
        <v/>
      </c>
      <c r="D137" s="1222" t="str">
        <f>IF(OR(D134&gt;0,D135&gt;0,D136&gt;0),1,"")</f>
        <v/>
      </c>
      <c r="E137" s="1222" t="str">
        <f t="shared" ref="E137:L137" si="66">IF(OR(E134&gt;0,E135&gt;0,E136&gt;0),1,"")</f>
        <v/>
      </c>
      <c r="F137" s="1222" t="str">
        <f t="shared" si="66"/>
        <v/>
      </c>
      <c r="G137" s="1222" t="str">
        <f t="shared" si="66"/>
        <v/>
      </c>
      <c r="H137" s="1222" t="str">
        <f t="shared" si="66"/>
        <v/>
      </c>
      <c r="I137" s="1222" t="str">
        <f t="shared" si="66"/>
        <v/>
      </c>
      <c r="J137" s="1222" t="str">
        <f t="shared" si="66"/>
        <v/>
      </c>
      <c r="K137" s="1222" t="str">
        <f t="shared" si="66"/>
        <v/>
      </c>
      <c r="L137" s="1222" t="str">
        <f t="shared" si="66"/>
        <v/>
      </c>
      <c r="M137" s="1859"/>
      <c r="N137" s="1861"/>
      <c r="O137" s="1861"/>
      <c r="P137" s="1863"/>
      <c r="Q137" s="1855"/>
      <c r="R137" s="1857"/>
      <c r="S137" s="1857"/>
      <c r="T137" s="1857"/>
      <c r="U137" s="1857"/>
      <c r="V137" s="1865"/>
      <c r="X137" s="1210" t="s">
        <v>388</v>
      </c>
      <c r="Y137" s="1221" t="str">
        <f>IF(OR(Y134&gt;0,Y135&gt;0,Y136&gt;0),1,"")</f>
        <v/>
      </c>
      <c r="Z137" s="1222" t="str">
        <f>IF(OR(Z134&gt;0,Z135&gt;0,Z136&gt;0),1,"")</f>
        <v/>
      </c>
      <c r="AA137" s="1222" t="str">
        <f t="shared" ref="AA137:AH137" si="67">IF(OR(AA134&gt;0,AA135&gt;0,AA136&gt;0),1,"")</f>
        <v/>
      </c>
      <c r="AB137" s="1222" t="str">
        <f t="shared" si="67"/>
        <v/>
      </c>
      <c r="AC137" s="1222" t="str">
        <f t="shared" si="67"/>
        <v/>
      </c>
      <c r="AD137" s="1222" t="str">
        <f t="shared" si="67"/>
        <v/>
      </c>
      <c r="AE137" s="1222" t="str">
        <f t="shared" si="67"/>
        <v/>
      </c>
      <c r="AF137" s="1222" t="str">
        <f t="shared" si="67"/>
        <v/>
      </c>
      <c r="AG137" s="1222" t="str">
        <f t="shared" si="67"/>
        <v/>
      </c>
      <c r="AH137" s="1222" t="str">
        <f t="shared" si="67"/>
        <v/>
      </c>
      <c r="AI137" s="1859"/>
      <c r="AJ137" s="1861"/>
      <c r="AK137" s="1861"/>
      <c r="AL137" s="1863"/>
      <c r="AM137" s="1855"/>
      <c r="AN137" s="1857"/>
      <c r="AO137" s="1857"/>
      <c r="AP137" s="1857"/>
      <c r="AQ137" s="1857"/>
      <c r="AR137" s="1865"/>
      <c r="AT137" s="1210" t="s">
        <v>388</v>
      </c>
      <c r="AU137" s="1221" t="str">
        <f>IF(OR(AU134&gt;0,AU135&gt;0,AU136&gt;0),1,"")</f>
        <v/>
      </c>
      <c r="AV137" s="1222" t="str">
        <f>IF(OR(AV134&gt;0,AV135&gt;0,AV136&gt;0),1,"")</f>
        <v/>
      </c>
      <c r="AW137" s="1222" t="str">
        <f t="shared" ref="AW137:BD137" si="68">IF(OR(AW134&gt;0,AW135&gt;0,AW136&gt;0),1,"")</f>
        <v/>
      </c>
      <c r="AX137" s="1222" t="str">
        <f t="shared" si="68"/>
        <v/>
      </c>
      <c r="AY137" s="1222" t="str">
        <f t="shared" si="68"/>
        <v/>
      </c>
      <c r="AZ137" s="1222" t="str">
        <f t="shared" si="68"/>
        <v/>
      </c>
      <c r="BA137" s="1222" t="str">
        <f t="shared" si="68"/>
        <v/>
      </c>
      <c r="BB137" s="1222" t="str">
        <f t="shared" si="68"/>
        <v/>
      </c>
      <c r="BC137" s="1222" t="str">
        <f t="shared" si="68"/>
        <v/>
      </c>
      <c r="BD137" s="1222" t="str">
        <f t="shared" si="68"/>
        <v/>
      </c>
      <c r="BE137" s="1859"/>
      <c r="BF137" s="1861"/>
      <c r="BG137" s="1861"/>
      <c r="BH137" s="1863"/>
      <c r="BI137" s="1855"/>
      <c r="BJ137" s="1857"/>
      <c r="BK137" s="1857"/>
      <c r="BL137" s="1857"/>
      <c r="BM137" s="1857"/>
      <c r="BN137" s="1865"/>
    </row>
    <row r="138" spans="1:66" ht="15" customHeight="1" thickTop="1">
      <c r="A138" t="s">
        <v>532</v>
      </c>
      <c r="B138" s="1194" t="s">
        <v>387</v>
      </c>
      <c r="C138" s="1195"/>
      <c r="D138" s="1196"/>
      <c r="E138" s="1196"/>
      <c r="F138" s="1196"/>
      <c r="G138" s="1196"/>
      <c r="H138" s="1196"/>
      <c r="I138" s="1196"/>
      <c r="J138" s="1196"/>
      <c r="K138" s="1196"/>
      <c r="L138" s="1197"/>
      <c r="M138" s="1858">
        <f>SUM(C138:L138)</f>
        <v>0</v>
      </c>
      <c r="N138" s="1860">
        <f>SUM(C139:L139)</f>
        <v>0</v>
      </c>
      <c r="O138" s="1860">
        <f>SUM(C140:L140)</f>
        <v>0</v>
      </c>
      <c r="P138" s="1862">
        <f>SUM(C141:L141)</f>
        <v>0</v>
      </c>
      <c r="Q138" s="1854">
        <f>IF(G120="","",SUM(N138:P142))</f>
        <v>0</v>
      </c>
      <c r="R138" s="1856"/>
      <c r="S138" s="1856"/>
      <c r="T138" s="1856"/>
      <c r="U138" s="1856"/>
      <c r="V138" s="1864" t="s">
        <v>395</v>
      </c>
      <c r="X138" s="1194" t="s">
        <v>387</v>
      </c>
      <c r="Y138" s="1195"/>
      <c r="Z138" s="1196"/>
      <c r="AA138" s="1196"/>
      <c r="AB138" s="1196"/>
      <c r="AC138" s="1196"/>
      <c r="AD138" s="1196"/>
      <c r="AE138" s="1196"/>
      <c r="AF138" s="1196"/>
      <c r="AG138" s="1196"/>
      <c r="AH138" s="1197"/>
      <c r="AI138" s="1858">
        <f>SUM(Y138:AH138)</f>
        <v>0</v>
      </c>
      <c r="AJ138" s="1860">
        <f>SUM(Y139:AH139)</f>
        <v>0</v>
      </c>
      <c r="AK138" s="1860">
        <f>SUM(Y140:AH140)</f>
        <v>0</v>
      </c>
      <c r="AL138" s="1862">
        <f>SUM(Y141:AH141)</f>
        <v>0</v>
      </c>
      <c r="AM138" s="1854">
        <f>IF(AC120="","",SUM(AJ138:AL142))</f>
        <v>0</v>
      </c>
      <c r="AN138" s="1856"/>
      <c r="AO138" s="1856"/>
      <c r="AP138" s="1856"/>
      <c r="AQ138" s="1856"/>
      <c r="AR138" s="1864" t="s">
        <v>395</v>
      </c>
      <c r="AT138" s="1194" t="s">
        <v>387</v>
      </c>
      <c r="AU138" s="1195"/>
      <c r="AV138" s="1196"/>
      <c r="AW138" s="1196"/>
      <c r="AX138" s="1196"/>
      <c r="AY138" s="1196"/>
      <c r="AZ138" s="1196"/>
      <c r="BA138" s="1196"/>
      <c r="BB138" s="1196"/>
      <c r="BC138" s="1196"/>
      <c r="BD138" s="1197"/>
      <c r="BE138" s="1858">
        <f>SUM(AU138:BD138)</f>
        <v>0</v>
      </c>
      <c r="BF138" s="1860">
        <f>SUM(AU139:BD139)</f>
        <v>0</v>
      </c>
      <c r="BG138" s="1860">
        <f>SUM(AU140:BD140)</f>
        <v>0</v>
      </c>
      <c r="BH138" s="1862">
        <f>SUM(AU141:BD141)</f>
        <v>0</v>
      </c>
      <c r="BI138" s="1854">
        <f>IF(AY120="","",SUM(BF138:BH142))</f>
        <v>0</v>
      </c>
      <c r="BJ138" s="1856"/>
      <c r="BK138" s="1856"/>
      <c r="BL138" s="1856"/>
      <c r="BM138" s="1856"/>
      <c r="BN138" s="1864" t="s">
        <v>395</v>
      </c>
    </row>
    <row r="139" spans="1:66" ht="13.5">
      <c r="B139" s="1198" t="s">
        <v>383</v>
      </c>
      <c r="C139" s="1199"/>
      <c r="D139" s="1200"/>
      <c r="E139" s="1200"/>
      <c r="F139" s="1200"/>
      <c r="G139" s="1200"/>
      <c r="H139" s="1200"/>
      <c r="I139" s="1200"/>
      <c r="J139" s="1200"/>
      <c r="K139" s="1200"/>
      <c r="L139" s="1201"/>
      <c r="M139" s="1843"/>
      <c r="N139" s="1846"/>
      <c r="O139" s="1846"/>
      <c r="P139" s="1849"/>
      <c r="Q139" s="1852"/>
      <c r="R139" s="1840"/>
      <c r="S139" s="1840"/>
      <c r="T139" s="1840"/>
      <c r="U139" s="1840"/>
      <c r="V139" s="1837"/>
      <c r="X139" s="1198" t="s">
        <v>383</v>
      </c>
      <c r="Y139" s="1199"/>
      <c r="Z139" s="1200"/>
      <c r="AA139" s="1200"/>
      <c r="AB139" s="1200"/>
      <c r="AC139" s="1200"/>
      <c r="AD139" s="1200"/>
      <c r="AE139" s="1200"/>
      <c r="AF139" s="1200"/>
      <c r="AG139" s="1200"/>
      <c r="AH139" s="1201"/>
      <c r="AI139" s="1843"/>
      <c r="AJ139" s="1846"/>
      <c r="AK139" s="1846"/>
      <c r="AL139" s="1849"/>
      <c r="AM139" s="1852"/>
      <c r="AN139" s="1840"/>
      <c r="AO139" s="1840"/>
      <c r="AP139" s="1840"/>
      <c r="AQ139" s="1840"/>
      <c r="AR139" s="1837"/>
      <c r="AT139" s="1198" t="s">
        <v>383</v>
      </c>
      <c r="AU139" s="1199"/>
      <c r="AV139" s="1200"/>
      <c r="AW139" s="1200"/>
      <c r="AX139" s="1200"/>
      <c r="AY139" s="1200"/>
      <c r="AZ139" s="1200"/>
      <c r="BA139" s="1200"/>
      <c r="BB139" s="1200"/>
      <c r="BC139" s="1200"/>
      <c r="BD139" s="1201"/>
      <c r="BE139" s="1843"/>
      <c r="BF139" s="1846"/>
      <c r="BG139" s="1846"/>
      <c r="BH139" s="1849"/>
      <c r="BI139" s="1852"/>
      <c r="BJ139" s="1840"/>
      <c r="BK139" s="1840"/>
      <c r="BL139" s="1840"/>
      <c r="BM139" s="1840"/>
      <c r="BN139" s="1837"/>
    </row>
    <row r="140" spans="1:66" ht="13.5">
      <c r="B140" s="1202" t="s">
        <v>384</v>
      </c>
      <c r="C140" s="1203"/>
      <c r="D140" s="1204"/>
      <c r="E140" s="1204"/>
      <c r="F140" s="1204"/>
      <c r="G140" s="1204"/>
      <c r="H140" s="1204"/>
      <c r="I140" s="1204"/>
      <c r="J140" s="1204"/>
      <c r="K140" s="1204"/>
      <c r="L140" s="1205"/>
      <c r="M140" s="1843"/>
      <c r="N140" s="1846"/>
      <c r="O140" s="1846"/>
      <c r="P140" s="1849"/>
      <c r="Q140" s="1852"/>
      <c r="R140" s="1840"/>
      <c r="S140" s="1840"/>
      <c r="T140" s="1840"/>
      <c r="U140" s="1840"/>
      <c r="V140" s="1837"/>
      <c r="X140" s="1202" t="s">
        <v>384</v>
      </c>
      <c r="Y140" s="1203"/>
      <c r="Z140" s="1204"/>
      <c r="AA140" s="1204"/>
      <c r="AB140" s="1204"/>
      <c r="AC140" s="1204"/>
      <c r="AD140" s="1204"/>
      <c r="AE140" s="1204"/>
      <c r="AF140" s="1204"/>
      <c r="AG140" s="1204"/>
      <c r="AH140" s="1205"/>
      <c r="AI140" s="1843"/>
      <c r="AJ140" s="1846"/>
      <c r="AK140" s="1846"/>
      <c r="AL140" s="1849"/>
      <c r="AM140" s="1852"/>
      <c r="AN140" s="1840"/>
      <c r="AO140" s="1840"/>
      <c r="AP140" s="1840"/>
      <c r="AQ140" s="1840"/>
      <c r="AR140" s="1837"/>
      <c r="AT140" s="1202" t="s">
        <v>384</v>
      </c>
      <c r="AU140" s="1203"/>
      <c r="AV140" s="1204"/>
      <c r="AW140" s="1204"/>
      <c r="AX140" s="1204"/>
      <c r="AY140" s="1204"/>
      <c r="AZ140" s="1204"/>
      <c r="BA140" s="1204"/>
      <c r="BB140" s="1204"/>
      <c r="BC140" s="1204"/>
      <c r="BD140" s="1205"/>
      <c r="BE140" s="1843"/>
      <c r="BF140" s="1846"/>
      <c r="BG140" s="1846"/>
      <c r="BH140" s="1849"/>
      <c r="BI140" s="1852"/>
      <c r="BJ140" s="1840"/>
      <c r="BK140" s="1840"/>
      <c r="BL140" s="1840"/>
      <c r="BM140" s="1840"/>
      <c r="BN140" s="1837"/>
    </row>
    <row r="141" spans="1:66" ht="13.5">
      <c r="B141" s="1206" t="s">
        <v>385</v>
      </c>
      <c r="C141" s="1207"/>
      <c r="D141" s="1208"/>
      <c r="E141" s="1208"/>
      <c r="F141" s="1208"/>
      <c r="G141" s="1208"/>
      <c r="H141" s="1208"/>
      <c r="I141" s="1208"/>
      <c r="J141" s="1208"/>
      <c r="K141" s="1208"/>
      <c r="L141" s="1209"/>
      <c r="M141" s="1843"/>
      <c r="N141" s="1846"/>
      <c r="O141" s="1846"/>
      <c r="P141" s="1849"/>
      <c r="Q141" s="1852"/>
      <c r="R141" s="1840"/>
      <c r="S141" s="1840"/>
      <c r="T141" s="1840"/>
      <c r="U141" s="1840"/>
      <c r="V141" s="1837"/>
      <c r="X141" s="1206" t="s">
        <v>385</v>
      </c>
      <c r="Y141" s="1207"/>
      <c r="Z141" s="1208"/>
      <c r="AA141" s="1208"/>
      <c r="AB141" s="1208"/>
      <c r="AC141" s="1208"/>
      <c r="AD141" s="1208"/>
      <c r="AE141" s="1208"/>
      <c r="AF141" s="1208"/>
      <c r="AG141" s="1208"/>
      <c r="AH141" s="1209"/>
      <c r="AI141" s="1843"/>
      <c r="AJ141" s="1846"/>
      <c r="AK141" s="1846"/>
      <c r="AL141" s="1849"/>
      <c r="AM141" s="1852"/>
      <c r="AN141" s="1840"/>
      <c r="AO141" s="1840"/>
      <c r="AP141" s="1840"/>
      <c r="AQ141" s="1840"/>
      <c r="AR141" s="1837"/>
      <c r="AT141" s="1206" t="s">
        <v>385</v>
      </c>
      <c r="AU141" s="1207"/>
      <c r="AV141" s="1208"/>
      <c r="AW141" s="1208"/>
      <c r="AX141" s="1208"/>
      <c r="AY141" s="1208"/>
      <c r="AZ141" s="1208"/>
      <c r="BA141" s="1208"/>
      <c r="BB141" s="1208"/>
      <c r="BC141" s="1208"/>
      <c r="BD141" s="1209"/>
      <c r="BE141" s="1843"/>
      <c r="BF141" s="1846"/>
      <c r="BG141" s="1846"/>
      <c r="BH141" s="1849"/>
      <c r="BI141" s="1852"/>
      <c r="BJ141" s="1840"/>
      <c r="BK141" s="1840"/>
      <c r="BL141" s="1840"/>
      <c r="BM141" s="1840"/>
      <c r="BN141" s="1837"/>
    </row>
    <row r="142" spans="1:66" ht="14" thickBot="1">
      <c r="B142" s="1210" t="s">
        <v>388</v>
      </c>
      <c r="C142" s="1221" t="str">
        <f>IF(OR(C139&gt;0,C140&gt;0,C141&gt;0),1,"")</f>
        <v/>
      </c>
      <c r="D142" s="1222" t="str">
        <f>IF(OR(D139&gt;0,D140&gt;0,D141&gt;0),1,"")</f>
        <v/>
      </c>
      <c r="E142" s="1222" t="str">
        <f t="shared" ref="E142:L142" si="69">IF(OR(E139&gt;0,E140&gt;0,E141&gt;0),1,"")</f>
        <v/>
      </c>
      <c r="F142" s="1222" t="str">
        <f t="shared" si="69"/>
        <v/>
      </c>
      <c r="G142" s="1222" t="str">
        <f t="shared" si="69"/>
        <v/>
      </c>
      <c r="H142" s="1222" t="str">
        <f t="shared" si="69"/>
        <v/>
      </c>
      <c r="I142" s="1222" t="str">
        <f t="shared" si="69"/>
        <v/>
      </c>
      <c r="J142" s="1222" t="str">
        <f t="shared" si="69"/>
        <v/>
      </c>
      <c r="K142" s="1222" t="str">
        <f t="shared" si="69"/>
        <v/>
      </c>
      <c r="L142" s="1222" t="str">
        <f t="shared" si="69"/>
        <v/>
      </c>
      <c r="M142" s="1859"/>
      <c r="N142" s="1861"/>
      <c r="O142" s="1861"/>
      <c r="P142" s="1863"/>
      <c r="Q142" s="1855"/>
      <c r="R142" s="1857"/>
      <c r="S142" s="1857"/>
      <c r="T142" s="1857"/>
      <c r="U142" s="1857"/>
      <c r="V142" s="1865"/>
      <c r="X142" s="1210" t="s">
        <v>388</v>
      </c>
      <c r="Y142" s="1221" t="str">
        <f>IF(OR(Y139&gt;0,Y140&gt;0,Y141&gt;0),1,"")</f>
        <v/>
      </c>
      <c r="Z142" s="1222" t="str">
        <f>IF(OR(Z139&gt;0,Z140&gt;0,Z141&gt;0),1,"")</f>
        <v/>
      </c>
      <c r="AA142" s="1222" t="str">
        <f t="shared" ref="AA142:AH142" si="70">IF(OR(AA139&gt;0,AA140&gt;0,AA141&gt;0),1,"")</f>
        <v/>
      </c>
      <c r="AB142" s="1222" t="str">
        <f t="shared" si="70"/>
        <v/>
      </c>
      <c r="AC142" s="1222" t="str">
        <f t="shared" si="70"/>
        <v/>
      </c>
      <c r="AD142" s="1222" t="str">
        <f t="shared" si="70"/>
        <v/>
      </c>
      <c r="AE142" s="1222" t="str">
        <f t="shared" si="70"/>
        <v/>
      </c>
      <c r="AF142" s="1222" t="str">
        <f t="shared" si="70"/>
        <v/>
      </c>
      <c r="AG142" s="1222" t="str">
        <f t="shared" si="70"/>
        <v/>
      </c>
      <c r="AH142" s="1222" t="str">
        <f t="shared" si="70"/>
        <v/>
      </c>
      <c r="AI142" s="1859"/>
      <c r="AJ142" s="1861"/>
      <c r="AK142" s="1861"/>
      <c r="AL142" s="1863"/>
      <c r="AM142" s="1855"/>
      <c r="AN142" s="1857"/>
      <c r="AO142" s="1857"/>
      <c r="AP142" s="1857"/>
      <c r="AQ142" s="1857"/>
      <c r="AR142" s="1865"/>
      <c r="AT142" s="1210" t="s">
        <v>388</v>
      </c>
      <c r="AU142" s="1221" t="str">
        <f>IF(OR(AU139&gt;0,AU140&gt;0,AU141&gt;0),1,"")</f>
        <v/>
      </c>
      <c r="AV142" s="1222" t="str">
        <f>IF(OR(AV139&gt;0,AV140&gt;0,AV141&gt;0),1,"")</f>
        <v/>
      </c>
      <c r="AW142" s="1222" t="str">
        <f t="shared" ref="AW142:BD142" si="71">IF(OR(AW139&gt;0,AW140&gt;0,AW141&gt;0),1,"")</f>
        <v/>
      </c>
      <c r="AX142" s="1222" t="str">
        <f t="shared" si="71"/>
        <v/>
      </c>
      <c r="AY142" s="1222" t="str">
        <f t="shared" si="71"/>
        <v/>
      </c>
      <c r="AZ142" s="1222" t="str">
        <f t="shared" si="71"/>
        <v/>
      </c>
      <c r="BA142" s="1222" t="str">
        <f t="shared" si="71"/>
        <v/>
      </c>
      <c r="BB142" s="1222" t="str">
        <f t="shared" si="71"/>
        <v/>
      </c>
      <c r="BC142" s="1222" t="str">
        <f t="shared" si="71"/>
        <v/>
      </c>
      <c r="BD142" s="1222" t="str">
        <f t="shared" si="71"/>
        <v/>
      </c>
      <c r="BE142" s="1859"/>
      <c r="BF142" s="1861"/>
      <c r="BG142" s="1861"/>
      <c r="BH142" s="1863"/>
      <c r="BI142" s="1855"/>
      <c r="BJ142" s="1857"/>
      <c r="BK142" s="1857"/>
      <c r="BL142" s="1857"/>
      <c r="BM142" s="1857"/>
      <c r="BN142" s="1865"/>
    </row>
    <row r="143" spans="1:66" ht="15" customHeight="1" thickTop="1">
      <c r="B143" s="1194" t="s">
        <v>387</v>
      </c>
      <c r="C143" s="1195"/>
      <c r="D143" s="1196"/>
      <c r="E143" s="1196"/>
      <c r="F143" s="1196"/>
      <c r="G143" s="1196"/>
      <c r="H143" s="1196"/>
      <c r="I143" s="1196"/>
      <c r="J143" s="1196"/>
      <c r="K143" s="1196"/>
      <c r="L143" s="1197"/>
      <c r="M143" s="1842">
        <f>SUM(C143:L143)</f>
        <v>0</v>
      </c>
      <c r="N143" s="1845">
        <f>SUM(C144:L144)</f>
        <v>0</v>
      </c>
      <c r="O143" s="1845">
        <f>SUM(C145:L145)</f>
        <v>0</v>
      </c>
      <c r="P143" s="1848">
        <f>SUM(C146:L146)</f>
        <v>0</v>
      </c>
      <c r="Q143" s="1851">
        <f>IF(G120="","",SUM(N143:P147))</f>
        <v>0</v>
      </c>
      <c r="R143" s="1839"/>
      <c r="S143" s="1839"/>
      <c r="T143" s="1839"/>
      <c r="U143" s="1839"/>
      <c r="V143" s="1836" t="s">
        <v>395</v>
      </c>
      <c r="X143" s="1194" t="s">
        <v>387</v>
      </c>
      <c r="Y143" s="1195"/>
      <c r="Z143" s="1196"/>
      <c r="AA143" s="1196"/>
      <c r="AB143" s="1196"/>
      <c r="AC143" s="1196"/>
      <c r="AD143" s="1196"/>
      <c r="AE143" s="1196"/>
      <c r="AF143" s="1196"/>
      <c r="AG143" s="1196"/>
      <c r="AH143" s="1197"/>
      <c r="AI143" s="1842">
        <f>SUM(Y143:AH143)</f>
        <v>0</v>
      </c>
      <c r="AJ143" s="1845">
        <f>SUM(Y144:AH144)</f>
        <v>0</v>
      </c>
      <c r="AK143" s="1845">
        <f>SUM(Y145:AH145)</f>
        <v>0</v>
      </c>
      <c r="AL143" s="1848">
        <f>SUM(Y146:AH146)</f>
        <v>0</v>
      </c>
      <c r="AM143" s="1851">
        <f>IF(AC120="","",SUM(AJ143:AL147))</f>
        <v>0</v>
      </c>
      <c r="AN143" s="1839"/>
      <c r="AO143" s="1839"/>
      <c r="AP143" s="1839"/>
      <c r="AQ143" s="1839"/>
      <c r="AR143" s="1836" t="s">
        <v>395</v>
      </c>
      <c r="AT143" s="1194" t="s">
        <v>387</v>
      </c>
      <c r="AU143" s="1195"/>
      <c r="AV143" s="1196"/>
      <c r="AW143" s="1196"/>
      <c r="AX143" s="1196"/>
      <c r="AY143" s="1196"/>
      <c r="AZ143" s="1196"/>
      <c r="BA143" s="1196"/>
      <c r="BB143" s="1196"/>
      <c r="BC143" s="1196"/>
      <c r="BD143" s="1197"/>
      <c r="BE143" s="1842">
        <f>SUM(AU143:BD143)</f>
        <v>0</v>
      </c>
      <c r="BF143" s="1845">
        <f>SUM(AU144:BD144)</f>
        <v>0</v>
      </c>
      <c r="BG143" s="1845">
        <f>SUM(AU145:BD145)</f>
        <v>0</v>
      </c>
      <c r="BH143" s="1848">
        <f>SUM(AU146:BD146)</f>
        <v>0</v>
      </c>
      <c r="BI143" s="1851">
        <f>IF(AY120="","",SUM(BF143:BH147))</f>
        <v>0</v>
      </c>
      <c r="BJ143" s="1839"/>
      <c r="BK143" s="1839"/>
      <c r="BL143" s="1839"/>
      <c r="BM143" s="1839"/>
      <c r="BN143" s="1836" t="s">
        <v>395</v>
      </c>
    </row>
    <row r="144" spans="1:66" ht="13.5">
      <c r="B144" s="1198" t="s">
        <v>383</v>
      </c>
      <c r="C144" s="1199"/>
      <c r="D144" s="1200"/>
      <c r="E144" s="1200"/>
      <c r="F144" s="1200"/>
      <c r="G144" s="1200"/>
      <c r="H144" s="1200"/>
      <c r="I144" s="1200"/>
      <c r="J144" s="1200"/>
      <c r="K144" s="1200"/>
      <c r="L144" s="1201"/>
      <c r="M144" s="1843"/>
      <c r="N144" s="1846"/>
      <c r="O144" s="1846"/>
      <c r="P144" s="1849"/>
      <c r="Q144" s="1852"/>
      <c r="R144" s="1840"/>
      <c r="S144" s="1840"/>
      <c r="T144" s="1840"/>
      <c r="U144" s="1840"/>
      <c r="V144" s="1837"/>
      <c r="X144" s="1198" t="s">
        <v>383</v>
      </c>
      <c r="Y144" s="1199"/>
      <c r="Z144" s="1200"/>
      <c r="AA144" s="1200"/>
      <c r="AB144" s="1200"/>
      <c r="AC144" s="1200"/>
      <c r="AD144" s="1200"/>
      <c r="AE144" s="1200"/>
      <c r="AF144" s="1200"/>
      <c r="AG144" s="1200"/>
      <c r="AH144" s="1201"/>
      <c r="AI144" s="1843"/>
      <c r="AJ144" s="1846"/>
      <c r="AK144" s="1846"/>
      <c r="AL144" s="1849"/>
      <c r="AM144" s="1852"/>
      <c r="AN144" s="1840"/>
      <c r="AO144" s="1840"/>
      <c r="AP144" s="1840"/>
      <c r="AQ144" s="1840"/>
      <c r="AR144" s="1837"/>
      <c r="AT144" s="1198" t="s">
        <v>383</v>
      </c>
      <c r="AU144" s="1199"/>
      <c r="AV144" s="1200"/>
      <c r="AW144" s="1200"/>
      <c r="AX144" s="1200"/>
      <c r="AY144" s="1200"/>
      <c r="AZ144" s="1200"/>
      <c r="BA144" s="1200"/>
      <c r="BB144" s="1200"/>
      <c r="BC144" s="1200"/>
      <c r="BD144" s="1201"/>
      <c r="BE144" s="1843"/>
      <c r="BF144" s="1846"/>
      <c r="BG144" s="1846"/>
      <c r="BH144" s="1849"/>
      <c r="BI144" s="1852"/>
      <c r="BJ144" s="1840"/>
      <c r="BK144" s="1840"/>
      <c r="BL144" s="1840"/>
      <c r="BM144" s="1840"/>
      <c r="BN144" s="1837"/>
    </row>
    <row r="145" spans="2:66" ht="13.5">
      <c r="B145" s="1202" t="s">
        <v>384</v>
      </c>
      <c r="C145" s="1203"/>
      <c r="D145" s="1204"/>
      <c r="E145" s="1204"/>
      <c r="F145" s="1204"/>
      <c r="G145" s="1204"/>
      <c r="H145" s="1204"/>
      <c r="I145" s="1204"/>
      <c r="J145" s="1204"/>
      <c r="K145" s="1204"/>
      <c r="L145" s="1205"/>
      <c r="M145" s="1843"/>
      <c r="N145" s="1846"/>
      <c r="O145" s="1846"/>
      <c r="P145" s="1849"/>
      <c r="Q145" s="1852"/>
      <c r="R145" s="1840"/>
      <c r="S145" s="1840"/>
      <c r="T145" s="1840"/>
      <c r="U145" s="1840"/>
      <c r="V145" s="1837"/>
      <c r="X145" s="1202" t="s">
        <v>384</v>
      </c>
      <c r="Y145" s="1203"/>
      <c r="Z145" s="1204"/>
      <c r="AA145" s="1204"/>
      <c r="AB145" s="1204"/>
      <c r="AC145" s="1204"/>
      <c r="AD145" s="1204"/>
      <c r="AE145" s="1204"/>
      <c r="AF145" s="1204"/>
      <c r="AG145" s="1204"/>
      <c r="AH145" s="1205"/>
      <c r="AI145" s="1843"/>
      <c r="AJ145" s="1846"/>
      <c r="AK145" s="1846"/>
      <c r="AL145" s="1849"/>
      <c r="AM145" s="1852"/>
      <c r="AN145" s="1840"/>
      <c r="AO145" s="1840"/>
      <c r="AP145" s="1840"/>
      <c r="AQ145" s="1840"/>
      <c r="AR145" s="1837"/>
      <c r="AT145" s="1202" t="s">
        <v>384</v>
      </c>
      <c r="AU145" s="1203"/>
      <c r="AV145" s="1204"/>
      <c r="AW145" s="1204"/>
      <c r="AX145" s="1204"/>
      <c r="AY145" s="1204"/>
      <c r="AZ145" s="1204"/>
      <c r="BA145" s="1204"/>
      <c r="BB145" s="1204"/>
      <c r="BC145" s="1204"/>
      <c r="BD145" s="1205"/>
      <c r="BE145" s="1843"/>
      <c r="BF145" s="1846"/>
      <c r="BG145" s="1846"/>
      <c r="BH145" s="1849"/>
      <c r="BI145" s="1852"/>
      <c r="BJ145" s="1840"/>
      <c r="BK145" s="1840"/>
      <c r="BL145" s="1840"/>
      <c r="BM145" s="1840"/>
      <c r="BN145" s="1837"/>
    </row>
    <row r="146" spans="2:66" ht="13.5">
      <c r="B146" s="1206" t="s">
        <v>385</v>
      </c>
      <c r="C146" s="1207"/>
      <c r="D146" s="1208"/>
      <c r="E146" s="1208"/>
      <c r="F146" s="1208"/>
      <c r="G146" s="1208"/>
      <c r="H146" s="1208"/>
      <c r="I146" s="1208"/>
      <c r="J146" s="1208"/>
      <c r="K146" s="1208"/>
      <c r="L146" s="1209"/>
      <c r="M146" s="1843"/>
      <c r="N146" s="1846"/>
      <c r="O146" s="1846"/>
      <c r="P146" s="1849"/>
      <c r="Q146" s="1852"/>
      <c r="R146" s="1840"/>
      <c r="S146" s="1840"/>
      <c r="T146" s="1840"/>
      <c r="U146" s="1840"/>
      <c r="V146" s="1837"/>
      <c r="X146" s="1206" t="s">
        <v>385</v>
      </c>
      <c r="Y146" s="1207"/>
      <c r="Z146" s="1208"/>
      <c r="AA146" s="1208"/>
      <c r="AB146" s="1208"/>
      <c r="AC146" s="1208"/>
      <c r="AD146" s="1208"/>
      <c r="AE146" s="1208"/>
      <c r="AF146" s="1208"/>
      <c r="AG146" s="1208"/>
      <c r="AH146" s="1209"/>
      <c r="AI146" s="1843"/>
      <c r="AJ146" s="1846"/>
      <c r="AK146" s="1846"/>
      <c r="AL146" s="1849"/>
      <c r="AM146" s="1852"/>
      <c r="AN146" s="1840"/>
      <c r="AO146" s="1840"/>
      <c r="AP146" s="1840"/>
      <c r="AQ146" s="1840"/>
      <c r="AR146" s="1837"/>
      <c r="AT146" s="1206" t="s">
        <v>385</v>
      </c>
      <c r="AU146" s="1207"/>
      <c r="AV146" s="1208"/>
      <c r="AW146" s="1208"/>
      <c r="AX146" s="1208"/>
      <c r="AY146" s="1208"/>
      <c r="AZ146" s="1208"/>
      <c r="BA146" s="1208"/>
      <c r="BB146" s="1208"/>
      <c r="BC146" s="1208"/>
      <c r="BD146" s="1209"/>
      <c r="BE146" s="1843"/>
      <c r="BF146" s="1846"/>
      <c r="BG146" s="1846"/>
      <c r="BH146" s="1849"/>
      <c r="BI146" s="1852"/>
      <c r="BJ146" s="1840"/>
      <c r="BK146" s="1840"/>
      <c r="BL146" s="1840"/>
      <c r="BM146" s="1840"/>
      <c r="BN146" s="1837"/>
    </row>
    <row r="147" spans="2:66" ht="13.5">
      <c r="B147" s="1215" t="s">
        <v>388</v>
      </c>
      <c r="C147" s="1223" t="str">
        <f>IF(OR(C144&gt;0,C145&gt;0,C146&gt;0),1,"")</f>
        <v/>
      </c>
      <c r="D147" s="1224" t="str">
        <f>IF(OR(D144&gt;0,D145&gt;0,D146&gt;0),1,"")</f>
        <v/>
      </c>
      <c r="E147" s="1224" t="str">
        <f t="shared" ref="E147:L147" si="72">IF(OR(E144&gt;0,E145&gt;0,E146&gt;0),1,"")</f>
        <v/>
      </c>
      <c r="F147" s="1224" t="str">
        <f t="shared" si="72"/>
        <v/>
      </c>
      <c r="G147" s="1224" t="str">
        <f t="shared" si="72"/>
        <v/>
      </c>
      <c r="H147" s="1224" t="str">
        <f t="shared" si="72"/>
        <v/>
      </c>
      <c r="I147" s="1224" t="str">
        <f t="shared" si="72"/>
        <v/>
      </c>
      <c r="J147" s="1224" t="str">
        <f t="shared" si="72"/>
        <v/>
      </c>
      <c r="K147" s="1224" t="str">
        <f t="shared" si="72"/>
        <v/>
      </c>
      <c r="L147" s="1225" t="str">
        <f t="shared" si="72"/>
        <v/>
      </c>
      <c r="M147" s="1844"/>
      <c r="N147" s="1847"/>
      <c r="O147" s="1847"/>
      <c r="P147" s="1850"/>
      <c r="Q147" s="1853"/>
      <c r="R147" s="1841"/>
      <c r="S147" s="1841"/>
      <c r="T147" s="1841"/>
      <c r="U147" s="1841"/>
      <c r="V147" s="1838"/>
      <c r="X147" s="1215" t="s">
        <v>388</v>
      </c>
      <c r="Y147" s="1223" t="str">
        <f>IF(OR(Y144&gt;0,Y145&gt;0,Y146&gt;0),1,"")</f>
        <v/>
      </c>
      <c r="Z147" s="1224" t="str">
        <f>IF(OR(Z144&gt;0,Z145&gt;0,Z146&gt;0),1,"")</f>
        <v/>
      </c>
      <c r="AA147" s="1224" t="str">
        <f t="shared" ref="AA147:AH147" si="73">IF(OR(AA144&gt;0,AA145&gt;0,AA146&gt;0),1,"")</f>
        <v/>
      </c>
      <c r="AB147" s="1224" t="str">
        <f t="shared" si="73"/>
        <v/>
      </c>
      <c r="AC147" s="1224" t="str">
        <f t="shared" si="73"/>
        <v/>
      </c>
      <c r="AD147" s="1224" t="str">
        <f t="shared" si="73"/>
        <v/>
      </c>
      <c r="AE147" s="1224" t="str">
        <f t="shared" si="73"/>
        <v/>
      </c>
      <c r="AF147" s="1224" t="str">
        <f t="shared" si="73"/>
        <v/>
      </c>
      <c r="AG147" s="1224" t="str">
        <f t="shared" si="73"/>
        <v/>
      </c>
      <c r="AH147" s="1225" t="str">
        <f t="shared" si="73"/>
        <v/>
      </c>
      <c r="AI147" s="1844"/>
      <c r="AJ147" s="1847"/>
      <c r="AK147" s="1847"/>
      <c r="AL147" s="1850"/>
      <c r="AM147" s="1853"/>
      <c r="AN147" s="1841"/>
      <c r="AO147" s="1841"/>
      <c r="AP147" s="1841"/>
      <c r="AQ147" s="1841"/>
      <c r="AR147" s="1838"/>
      <c r="AT147" s="1215" t="s">
        <v>388</v>
      </c>
      <c r="AU147" s="1223" t="str">
        <f>IF(OR(AU144&gt;0,AU145&gt;0,AU146&gt;0),1,"")</f>
        <v/>
      </c>
      <c r="AV147" s="1224" t="str">
        <f>IF(OR(AV144&gt;0,AV145&gt;0,AV146&gt;0),1,"")</f>
        <v/>
      </c>
      <c r="AW147" s="1224" t="str">
        <f t="shared" ref="AW147:BD147" si="74">IF(OR(AW144&gt;0,AW145&gt;0,AW146&gt;0),1,"")</f>
        <v/>
      </c>
      <c r="AX147" s="1224" t="str">
        <f t="shared" si="74"/>
        <v/>
      </c>
      <c r="AY147" s="1224" t="str">
        <f t="shared" si="74"/>
        <v/>
      </c>
      <c r="AZ147" s="1224" t="str">
        <f t="shared" si="74"/>
        <v/>
      </c>
      <c r="BA147" s="1224" t="str">
        <f t="shared" si="74"/>
        <v/>
      </c>
      <c r="BB147" s="1224" t="str">
        <f t="shared" si="74"/>
        <v/>
      </c>
      <c r="BC147" s="1224" t="str">
        <f t="shared" si="74"/>
        <v/>
      </c>
      <c r="BD147" s="1225" t="str">
        <f t="shared" si="74"/>
        <v/>
      </c>
      <c r="BE147" s="1844"/>
      <c r="BF147" s="1847"/>
      <c r="BG147" s="1847"/>
      <c r="BH147" s="1850"/>
      <c r="BI147" s="1853"/>
      <c r="BJ147" s="1841"/>
      <c r="BK147" s="1841"/>
      <c r="BL147" s="1841"/>
      <c r="BM147" s="1841"/>
      <c r="BN147" s="1838"/>
    </row>
    <row r="148" spans="2:66">
      <c r="B148" s="1216"/>
      <c r="C148" s="1216"/>
      <c r="D148" s="1216"/>
      <c r="E148" s="1216"/>
      <c r="F148" s="1216"/>
      <c r="G148" s="1216"/>
      <c r="H148" s="1216"/>
      <c r="I148" s="1216"/>
      <c r="J148" s="1216"/>
      <c r="K148" s="1216"/>
      <c r="L148" s="1216"/>
      <c r="M148" s="1216"/>
      <c r="N148" s="1216"/>
      <c r="O148" s="1216"/>
      <c r="P148" s="1216"/>
      <c r="Q148" s="1216"/>
      <c r="X148" s="1216"/>
      <c r="Y148" s="1216"/>
      <c r="Z148" s="1216"/>
      <c r="AA148" s="1216"/>
      <c r="AB148" s="1216"/>
      <c r="AC148" s="1216"/>
      <c r="AD148" s="1216"/>
      <c r="AE148" s="1216"/>
      <c r="AF148" s="1216"/>
      <c r="AG148" s="1216"/>
      <c r="AH148" s="1216"/>
      <c r="AI148" s="1216"/>
      <c r="AJ148" s="1216"/>
      <c r="AK148" s="1216"/>
      <c r="AL148" s="1216"/>
      <c r="AM148" s="1216"/>
      <c r="AT148" s="1216"/>
      <c r="AU148" s="1216"/>
      <c r="AV148" s="1216"/>
      <c r="AW148" s="1216"/>
      <c r="AX148" s="1216"/>
      <c r="AY148" s="1216"/>
      <c r="AZ148" s="1216"/>
      <c r="BA148" s="1216"/>
      <c r="BB148" s="1216"/>
      <c r="BC148" s="1216"/>
      <c r="BD148" s="1216"/>
      <c r="BE148" s="1216"/>
      <c r="BF148" s="1216"/>
      <c r="BG148" s="1216"/>
      <c r="BH148" s="1216"/>
      <c r="BI148" s="1216"/>
    </row>
    <row r="149" spans="2:66">
      <c r="B149" s="1175"/>
      <c r="C149" s="1176" t="s">
        <v>399</v>
      </c>
      <c r="D149" s="1217" t="s">
        <v>396</v>
      </c>
      <c r="E149" s="1177"/>
      <c r="F149" s="1177" t="s">
        <v>373</v>
      </c>
      <c r="G149" s="1178">
        <v>46181</v>
      </c>
      <c r="H149" s="1167"/>
      <c r="I149" s="1167"/>
      <c r="J149" s="1179" t="s">
        <v>374</v>
      </c>
      <c r="K149" s="1165"/>
      <c r="L149" s="1165"/>
      <c r="M149" s="1165"/>
      <c r="N149" s="1165"/>
      <c r="O149" s="1165"/>
      <c r="P149" s="1165"/>
      <c r="Q149" s="1165"/>
      <c r="R149" s="1165"/>
      <c r="S149" s="1165"/>
      <c r="T149" s="1165"/>
      <c r="U149" s="1165"/>
      <c r="V149" s="1165"/>
      <c r="X149" s="1175"/>
      <c r="Y149" s="1176" t="s">
        <v>399</v>
      </c>
      <c r="Z149" s="1217" t="s">
        <v>413</v>
      </c>
      <c r="AA149" s="1177"/>
      <c r="AB149" s="1177" t="s">
        <v>373</v>
      </c>
      <c r="AC149" s="1178">
        <v>46189</v>
      </c>
      <c r="AD149" s="1167"/>
      <c r="AE149" s="1167"/>
      <c r="AF149" s="1179" t="s">
        <v>374</v>
      </c>
      <c r="AG149" s="1165"/>
      <c r="AH149" s="1165"/>
      <c r="AI149" s="1165"/>
      <c r="AJ149" s="1165"/>
      <c r="AK149" s="1165"/>
      <c r="AL149" s="1165"/>
      <c r="AM149" s="1165"/>
      <c r="AN149" s="1165"/>
      <c r="AO149" s="1165"/>
      <c r="AP149" s="1165"/>
      <c r="AQ149" s="1165"/>
      <c r="AR149" s="1165"/>
      <c r="AT149" s="1175"/>
      <c r="AU149" s="1176" t="s">
        <v>399</v>
      </c>
      <c r="AV149" s="1217" t="s">
        <v>408</v>
      </c>
      <c r="AW149" s="1177"/>
      <c r="AX149" s="1177" t="s">
        <v>373</v>
      </c>
      <c r="AY149" s="1178"/>
      <c r="AZ149" s="1167"/>
      <c r="BA149" s="1167"/>
      <c r="BB149" s="1179" t="s">
        <v>374</v>
      </c>
      <c r="BC149" s="1165"/>
      <c r="BD149" s="1165"/>
      <c r="BE149" s="1165"/>
      <c r="BF149" s="1165"/>
      <c r="BG149" s="1165"/>
      <c r="BH149" s="1165"/>
      <c r="BI149" s="1165"/>
      <c r="BJ149" s="1165"/>
      <c r="BK149" s="1165"/>
      <c r="BL149" s="1165"/>
      <c r="BM149" s="1165"/>
      <c r="BN149" s="1165"/>
    </row>
    <row r="150" spans="2:66" ht="15.75" customHeight="1">
      <c r="B150" s="1180" t="s">
        <v>375</v>
      </c>
      <c r="C150" s="1181"/>
      <c r="D150" s="1220">
        <f>IF(J150="",#N/A,SUM(C156:L156,C161:L161,C166:L166,C171:L171,C176:L176))</f>
        <v>0</v>
      </c>
      <c r="E150" s="1183" t="s">
        <v>376</v>
      </c>
      <c r="F150" s="1184" t="s">
        <v>377</v>
      </c>
      <c r="G150" s="1181"/>
      <c r="H150" s="1182" t="s">
        <v>378</v>
      </c>
      <c r="I150" s="1181"/>
      <c r="J150" s="1220">
        <f>IF(AND(Q152="",Q157="",Q162="",Q167="",Q172=""),"",SUM(Q152:Q175))</f>
        <v>0</v>
      </c>
      <c r="K150" s="1183" t="s">
        <v>379</v>
      </c>
      <c r="L150" s="1185" t="s">
        <v>377</v>
      </c>
      <c r="M150" s="1866" t="s">
        <v>380</v>
      </c>
      <c r="N150" s="1867"/>
      <c r="O150" s="1867"/>
      <c r="P150" s="1867"/>
      <c r="Q150" s="1868"/>
      <c r="R150" s="1869" t="s">
        <v>389</v>
      </c>
      <c r="S150" s="1869" t="s">
        <v>390</v>
      </c>
      <c r="T150" s="1869" t="s">
        <v>391</v>
      </c>
      <c r="U150" s="1869" t="s">
        <v>392</v>
      </c>
      <c r="V150" s="1871" t="s">
        <v>393</v>
      </c>
      <c r="X150" s="1180" t="s">
        <v>375</v>
      </c>
      <c r="Y150" s="1181"/>
      <c r="Z150" s="1220">
        <f>IF(AF150="",#N/A,SUM(Y156:AH156,Y161:AH161,Y166:AH166,Y171:AH171,Y176:AH176))</f>
        <v>0</v>
      </c>
      <c r="AA150" s="1183" t="s">
        <v>376</v>
      </c>
      <c r="AB150" s="1184" t="s">
        <v>377</v>
      </c>
      <c r="AC150" s="1181"/>
      <c r="AD150" s="1182" t="s">
        <v>378</v>
      </c>
      <c r="AE150" s="1181"/>
      <c r="AF150" s="1220">
        <f>IF(AND(AM152="",AM157="",AM162="",AM167="",AM172=""),"",SUM(AM152:AM175))</f>
        <v>0</v>
      </c>
      <c r="AG150" s="1183" t="s">
        <v>379</v>
      </c>
      <c r="AH150" s="1185" t="s">
        <v>377</v>
      </c>
      <c r="AI150" s="1866" t="s">
        <v>380</v>
      </c>
      <c r="AJ150" s="1867"/>
      <c r="AK150" s="1867"/>
      <c r="AL150" s="1867"/>
      <c r="AM150" s="1868"/>
      <c r="AN150" s="1869" t="s">
        <v>389</v>
      </c>
      <c r="AO150" s="1869" t="s">
        <v>390</v>
      </c>
      <c r="AP150" s="1869" t="s">
        <v>391</v>
      </c>
      <c r="AQ150" s="1869" t="s">
        <v>392</v>
      </c>
      <c r="AR150" s="1871" t="s">
        <v>393</v>
      </c>
      <c r="AT150" s="1180" t="s">
        <v>375</v>
      </c>
      <c r="AU150" s="1181"/>
      <c r="AV150" s="1220" t="e">
        <f>IF(BB150="",#N/A,SUM(AU156:BD156,AU161:BD161,AU166:BD166,AU171:BD171,AU176:BD176))</f>
        <v>#N/A</v>
      </c>
      <c r="AW150" s="1183" t="s">
        <v>376</v>
      </c>
      <c r="AX150" s="1184" t="s">
        <v>377</v>
      </c>
      <c r="AY150" s="1181"/>
      <c r="AZ150" s="1182" t="s">
        <v>378</v>
      </c>
      <c r="BA150" s="1181"/>
      <c r="BB150" s="1220" t="str">
        <f>IF(AND(BI152="",BI157="",BI162="",BI167="",BI172=""),"",SUM(BI152:BI175))</f>
        <v/>
      </c>
      <c r="BC150" s="1183" t="s">
        <v>379</v>
      </c>
      <c r="BD150" s="1185" t="s">
        <v>377</v>
      </c>
      <c r="BE150" s="1866" t="s">
        <v>380</v>
      </c>
      <c r="BF150" s="1867"/>
      <c r="BG150" s="1867"/>
      <c r="BH150" s="1867"/>
      <c r="BI150" s="1868"/>
      <c r="BJ150" s="1869" t="s">
        <v>389</v>
      </c>
      <c r="BK150" s="1869" t="s">
        <v>390</v>
      </c>
      <c r="BL150" s="1869" t="s">
        <v>391</v>
      </c>
      <c r="BM150" s="1869" t="s">
        <v>392</v>
      </c>
      <c r="BN150" s="1871" t="s">
        <v>393</v>
      </c>
    </row>
    <row r="151" spans="2:66" ht="13.5">
      <c r="B151" s="1186" t="s">
        <v>381</v>
      </c>
      <c r="C151" s="1187">
        <v>1</v>
      </c>
      <c r="D151" s="1218">
        <v>2</v>
      </c>
      <c r="E151" s="1188">
        <v>3</v>
      </c>
      <c r="F151" s="1188">
        <v>4</v>
      </c>
      <c r="G151" s="1188">
        <v>5</v>
      </c>
      <c r="H151" s="1188">
        <v>6</v>
      </c>
      <c r="I151" s="1218">
        <v>7</v>
      </c>
      <c r="J151" s="1218">
        <v>8</v>
      </c>
      <c r="K151" s="1218">
        <v>9</v>
      </c>
      <c r="L151" s="1219">
        <v>10</v>
      </c>
      <c r="M151" s="1189" t="s">
        <v>382</v>
      </c>
      <c r="N151" s="1190" t="s">
        <v>383</v>
      </c>
      <c r="O151" s="1191" t="s">
        <v>384</v>
      </c>
      <c r="P151" s="1192" t="s">
        <v>385</v>
      </c>
      <c r="Q151" s="1193" t="s">
        <v>386</v>
      </c>
      <c r="R151" s="1870"/>
      <c r="S151" s="1870"/>
      <c r="T151" s="1870"/>
      <c r="U151" s="1870"/>
      <c r="V151" s="1872"/>
      <c r="X151" s="1186" t="s">
        <v>381</v>
      </c>
      <c r="Y151" s="1187">
        <v>1</v>
      </c>
      <c r="Z151" s="1218">
        <v>2</v>
      </c>
      <c r="AA151" s="1188">
        <v>3</v>
      </c>
      <c r="AB151" s="1188">
        <v>4</v>
      </c>
      <c r="AC151" s="1188">
        <v>5</v>
      </c>
      <c r="AD151" s="1188">
        <v>6</v>
      </c>
      <c r="AE151" s="1218">
        <v>7</v>
      </c>
      <c r="AF151" s="1218">
        <v>8</v>
      </c>
      <c r="AG151" s="1218">
        <v>9</v>
      </c>
      <c r="AH151" s="1219">
        <v>10</v>
      </c>
      <c r="AI151" s="1189" t="s">
        <v>382</v>
      </c>
      <c r="AJ151" s="1190" t="s">
        <v>383</v>
      </c>
      <c r="AK151" s="1191" t="s">
        <v>384</v>
      </c>
      <c r="AL151" s="1192" t="s">
        <v>385</v>
      </c>
      <c r="AM151" s="1193" t="s">
        <v>386</v>
      </c>
      <c r="AN151" s="1870"/>
      <c r="AO151" s="1870"/>
      <c r="AP151" s="1870"/>
      <c r="AQ151" s="1870"/>
      <c r="AR151" s="1872"/>
      <c r="AT151" s="1186" t="s">
        <v>381</v>
      </c>
      <c r="AU151" s="1187">
        <v>1</v>
      </c>
      <c r="AV151" s="1218">
        <v>2</v>
      </c>
      <c r="AW151" s="1188">
        <v>3</v>
      </c>
      <c r="AX151" s="1188">
        <v>4</v>
      </c>
      <c r="AY151" s="1188">
        <v>5</v>
      </c>
      <c r="AZ151" s="1188">
        <v>6</v>
      </c>
      <c r="BA151" s="1218">
        <v>7</v>
      </c>
      <c r="BB151" s="1218">
        <v>8</v>
      </c>
      <c r="BC151" s="1218">
        <v>9</v>
      </c>
      <c r="BD151" s="1219">
        <v>10</v>
      </c>
      <c r="BE151" s="1189" t="s">
        <v>382</v>
      </c>
      <c r="BF151" s="1190" t="s">
        <v>383</v>
      </c>
      <c r="BG151" s="1191" t="s">
        <v>384</v>
      </c>
      <c r="BH151" s="1192" t="s">
        <v>385</v>
      </c>
      <c r="BI151" s="1193" t="s">
        <v>386</v>
      </c>
      <c r="BJ151" s="1870"/>
      <c r="BK151" s="1870"/>
      <c r="BL151" s="1870"/>
      <c r="BM151" s="1870"/>
      <c r="BN151" s="1872"/>
    </row>
    <row r="152" spans="2:66" ht="14.25" customHeight="1">
      <c r="B152" s="1194" t="s">
        <v>387</v>
      </c>
      <c r="C152" s="1195">
        <v>0</v>
      </c>
      <c r="D152" s="1196"/>
      <c r="E152" s="1196"/>
      <c r="F152" s="1196"/>
      <c r="G152" s="1196"/>
      <c r="H152" s="1196"/>
      <c r="I152" s="1196"/>
      <c r="J152" s="1196"/>
      <c r="K152" s="1196"/>
      <c r="L152" s="1197"/>
      <c r="M152" s="1858">
        <f>SUM(C152:L152)</f>
        <v>0</v>
      </c>
      <c r="N152" s="1860">
        <f>SUM(C153:L153)</f>
        <v>0</v>
      </c>
      <c r="O152" s="1860">
        <f>SUM(C154:L154)</f>
        <v>0</v>
      </c>
      <c r="P152" s="1862">
        <f>SUM(C155:L155)</f>
        <v>0</v>
      </c>
      <c r="Q152" s="1854">
        <f>IF(G149="","",SUM(N152:P156))</f>
        <v>0</v>
      </c>
      <c r="R152" s="1856"/>
      <c r="S152" s="1856"/>
      <c r="T152" s="1856"/>
      <c r="U152" s="1856"/>
      <c r="V152" s="1864" t="s">
        <v>394</v>
      </c>
      <c r="X152" s="1194" t="s">
        <v>387</v>
      </c>
      <c r="Y152" s="1195">
        <v>0</v>
      </c>
      <c r="Z152" s="1196"/>
      <c r="AA152" s="1196"/>
      <c r="AB152" s="1196"/>
      <c r="AC152" s="1196"/>
      <c r="AD152" s="1196"/>
      <c r="AE152" s="1196"/>
      <c r="AF152" s="1196"/>
      <c r="AG152" s="1196"/>
      <c r="AH152" s="1197"/>
      <c r="AI152" s="1858">
        <f>SUM(Y152:AH152)</f>
        <v>0</v>
      </c>
      <c r="AJ152" s="1860">
        <f>SUM(Y153:AH153)</f>
        <v>0</v>
      </c>
      <c r="AK152" s="1860">
        <f>SUM(Y154:AH154)</f>
        <v>0</v>
      </c>
      <c r="AL152" s="1862">
        <f>SUM(Y155:AH155)</f>
        <v>0</v>
      </c>
      <c r="AM152" s="1854">
        <f>IF(AC149="","",SUM(AJ152:AL156))</f>
        <v>0</v>
      </c>
      <c r="AN152" s="1856"/>
      <c r="AO152" s="1856"/>
      <c r="AP152" s="1856"/>
      <c r="AQ152" s="1856"/>
      <c r="AR152" s="1864" t="s">
        <v>394</v>
      </c>
      <c r="AT152" s="1194" t="s">
        <v>387</v>
      </c>
      <c r="AU152" s="1195"/>
      <c r="AV152" s="1196"/>
      <c r="AW152" s="1196"/>
      <c r="AX152" s="1196"/>
      <c r="AY152" s="1196"/>
      <c r="AZ152" s="1196"/>
      <c r="BA152" s="1196"/>
      <c r="BB152" s="1196"/>
      <c r="BC152" s="1196"/>
      <c r="BD152" s="1197"/>
      <c r="BE152" s="1858">
        <f>SUM(AU152:BD152)</f>
        <v>0</v>
      </c>
      <c r="BF152" s="1860">
        <f>SUM(AU153:BD153)</f>
        <v>0</v>
      </c>
      <c r="BG152" s="1860">
        <f>SUM(AU154:BD154)</f>
        <v>0</v>
      </c>
      <c r="BH152" s="1862">
        <f>SUM(AU155:BD155)</f>
        <v>0</v>
      </c>
      <c r="BI152" s="1854" t="str">
        <f>IF(AY149="","",SUM(BF152:BH156))</f>
        <v/>
      </c>
      <c r="BJ152" s="1856"/>
      <c r="BK152" s="1856"/>
      <c r="BL152" s="1856"/>
      <c r="BM152" s="1856"/>
      <c r="BN152" s="1864" t="s">
        <v>394</v>
      </c>
    </row>
    <row r="153" spans="2:66" ht="13.5">
      <c r="B153" s="1198" t="s">
        <v>383</v>
      </c>
      <c r="C153" s="1199">
        <v>0</v>
      </c>
      <c r="D153" s="1200"/>
      <c r="E153" s="1200"/>
      <c r="F153" s="1200"/>
      <c r="G153" s="1200"/>
      <c r="H153" s="1200"/>
      <c r="I153" s="1200"/>
      <c r="J153" s="1200"/>
      <c r="K153" s="1200"/>
      <c r="L153" s="1201"/>
      <c r="M153" s="1843"/>
      <c r="N153" s="1846"/>
      <c r="O153" s="1846"/>
      <c r="P153" s="1849"/>
      <c r="Q153" s="1852"/>
      <c r="R153" s="1840"/>
      <c r="S153" s="1840"/>
      <c r="T153" s="1840"/>
      <c r="U153" s="1840"/>
      <c r="V153" s="1837"/>
      <c r="X153" s="1198" t="s">
        <v>383</v>
      </c>
      <c r="Y153" s="1199">
        <v>0</v>
      </c>
      <c r="Z153" s="1200"/>
      <c r="AA153" s="1200"/>
      <c r="AB153" s="1200"/>
      <c r="AC153" s="1200"/>
      <c r="AD153" s="1200"/>
      <c r="AE153" s="1200"/>
      <c r="AF153" s="1200"/>
      <c r="AG153" s="1200"/>
      <c r="AH153" s="1201"/>
      <c r="AI153" s="1843"/>
      <c r="AJ153" s="1846"/>
      <c r="AK153" s="1846"/>
      <c r="AL153" s="1849"/>
      <c r="AM153" s="1852"/>
      <c r="AN153" s="1840"/>
      <c r="AO153" s="1840"/>
      <c r="AP153" s="1840"/>
      <c r="AQ153" s="1840"/>
      <c r="AR153" s="1837"/>
      <c r="AT153" s="1198" t="s">
        <v>383</v>
      </c>
      <c r="AU153" s="1199"/>
      <c r="AV153" s="1200"/>
      <c r="AW153" s="1200"/>
      <c r="AX153" s="1200"/>
      <c r="AY153" s="1200"/>
      <c r="AZ153" s="1200"/>
      <c r="BA153" s="1200"/>
      <c r="BB153" s="1200"/>
      <c r="BC153" s="1200"/>
      <c r="BD153" s="1201"/>
      <c r="BE153" s="1843"/>
      <c r="BF153" s="1846"/>
      <c r="BG153" s="1846"/>
      <c r="BH153" s="1849"/>
      <c r="BI153" s="1852"/>
      <c r="BJ153" s="1840"/>
      <c r="BK153" s="1840"/>
      <c r="BL153" s="1840"/>
      <c r="BM153" s="1840"/>
      <c r="BN153" s="1837"/>
    </row>
    <row r="154" spans="2:66" ht="13.5">
      <c r="B154" s="1202" t="s">
        <v>384</v>
      </c>
      <c r="C154" s="1203">
        <v>0</v>
      </c>
      <c r="D154" s="1204"/>
      <c r="E154" s="1204"/>
      <c r="F154" s="1204"/>
      <c r="G154" s="1204"/>
      <c r="H154" s="1204"/>
      <c r="I154" s="1204"/>
      <c r="J154" s="1204"/>
      <c r="K154" s="1204"/>
      <c r="L154" s="1205"/>
      <c r="M154" s="1843"/>
      <c r="N154" s="1846"/>
      <c r="O154" s="1846"/>
      <c r="P154" s="1849"/>
      <c r="Q154" s="1852"/>
      <c r="R154" s="1840"/>
      <c r="S154" s="1840"/>
      <c r="T154" s="1840"/>
      <c r="U154" s="1840"/>
      <c r="V154" s="1837"/>
      <c r="X154" s="1202" t="s">
        <v>384</v>
      </c>
      <c r="Y154" s="1203">
        <v>0</v>
      </c>
      <c r="Z154" s="1204"/>
      <c r="AA154" s="1204"/>
      <c r="AB154" s="1204"/>
      <c r="AC154" s="1204"/>
      <c r="AD154" s="1204"/>
      <c r="AE154" s="1204"/>
      <c r="AF154" s="1204"/>
      <c r="AG154" s="1204"/>
      <c r="AH154" s="1205"/>
      <c r="AI154" s="1843"/>
      <c r="AJ154" s="1846"/>
      <c r="AK154" s="1846"/>
      <c r="AL154" s="1849"/>
      <c r="AM154" s="1852"/>
      <c r="AN154" s="1840"/>
      <c r="AO154" s="1840"/>
      <c r="AP154" s="1840"/>
      <c r="AQ154" s="1840"/>
      <c r="AR154" s="1837"/>
      <c r="AT154" s="1202" t="s">
        <v>384</v>
      </c>
      <c r="AU154" s="1203"/>
      <c r="AV154" s="1204"/>
      <c r="AW154" s="1204"/>
      <c r="AX154" s="1204"/>
      <c r="AY154" s="1204"/>
      <c r="AZ154" s="1204"/>
      <c r="BA154" s="1204"/>
      <c r="BB154" s="1204"/>
      <c r="BC154" s="1204"/>
      <c r="BD154" s="1205"/>
      <c r="BE154" s="1843"/>
      <c r="BF154" s="1846"/>
      <c r="BG154" s="1846"/>
      <c r="BH154" s="1849"/>
      <c r="BI154" s="1852"/>
      <c r="BJ154" s="1840"/>
      <c r="BK154" s="1840"/>
      <c r="BL154" s="1840"/>
      <c r="BM154" s="1840"/>
      <c r="BN154" s="1837"/>
    </row>
    <row r="155" spans="2:66" ht="13.5">
      <c r="B155" s="1206" t="s">
        <v>385</v>
      </c>
      <c r="C155" s="1207">
        <v>0</v>
      </c>
      <c r="D155" s="1208"/>
      <c r="E155" s="1208"/>
      <c r="F155" s="1208"/>
      <c r="G155" s="1208"/>
      <c r="H155" s="1208"/>
      <c r="I155" s="1208"/>
      <c r="J155" s="1208"/>
      <c r="K155" s="1208"/>
      <c r="L155" s="1209"/>
      <c r="M155" s="1843"/>
      <c r="N155" s="1846"/>
      <c r="O155" s="1846"/>
      <c r="P155" s="1849"/>
      <c r="Q155" s="1852"/>
      <c r="R155" s="1840"/>
      <c r="S155" s="1840"/>
      <c r="T155" s="1840"/>
      <c r="U155" s="1840"/>
      <c r="V155" s="1837"/>
      <c r="X155" s="1206" t="s">
        <v>385</v>
      </c>
      <c r="Y155" s="1207">
        <v>0</v>
      </c>
      <c r="Z155" s="1208"/>
      <c r="AA155" s="1208"/>
      <c r="AB155" s="1208"/>
      <c r="AC155" s="1208"/>
      <c r="AD155" s="1208"/>
      <c r="AE155" s="1208"/>
      <c r="AF155" s="1208"/>
      <c r="AG155" s="1208"/>
      <c r="AH155" s="1209"/>
      <c r="AI155" s="1843"/>
      <c r="AJ155" s="1846"/>
      <c r="AK155" s="1846"/>
      <c r="AL155" s="1849"/>
      <c r="AM155" s="1852"/>
      <c r="AN155" s="1840"/>
      <c r="AO155" s="1840"/>
      <c r="AP155" s="1840"/>
      <c r="AQ155" s="1840"/>
      <c r="AR155" s="1837"/>
      <c r="AT155" s="1206" t="s">
        <v>385</v>
      </c>
      <c r="AU155" s="1207"/>
      <c r="AV155" s="1208"/>
      <c r="AW155" s="1208"/>
      <c r="AX155" s="1208"/>
      <c r="AY155" s="1208"/>
      <c r="AZ155" s="1208"/>
      <c r="BA155" s="1208"/>
      <c r="BB155" s="1208"/>
      <c r="BC155" s="1208"/>
      <c r="BD155" s="1209"/>
      <c r="BE155" s="1843"/>
      <c r="BF155" s="1846"/>
      <c r="BG155" s="1846"/>
      <c r="BH155" s="1849"/>
      <c r="BI155" s="1852"/>
      <c r="BJ155" s="1840"/>
      <c r="BK155" s="1840"/>
      <c r="BL155" s="1840"/>
      <c r="BM155" s="1840"/>
      <c r="BN155" s="1837"/>
    </row>
    <row r="156" spans="2:66" ht="14" thickBot="1">
      <c r="B156" s="1210" t="s">
        <v>388</v>
      </c>
      <c r="C156" s="1221" t="str">
        <f>IF(OR(C153&gt;0,C154&gt;0,C155&gt;0),1,"")</f>
        <v/>
      </c>
      <c r="D156" s="1222" t="str">
        <f>IF(OR(D153&gt;0,D154&gt;0,D155&gt;0),1,"")</f>
        <v/>
      </c>
      <c r="E156" s="1222" t="str">
        <f t="shared" ref="E156:L156" si="75">IF(OR(E153&gt;0,E154&gt;0,E155&gt;0),1,"")</f>
        <v/>
      </c>
      <c r="F156" s="1222" t="str">
        <f t="shared" si="75"/>
        <v/>
      </c>
      <c r="G156" s="1222" t="str">
        <f t="shared" si="75"/>
        <v/>
      </c>
      <c r="H156" s="1222" t="str">
        <f t="shared" si="75"/>
        <v/>
      </c>
      <c r="I156" s="1222" t="str">
        <f t="shared" si="75"/>
        <v/>
      </c>
      <c r="J156" s="1222" t="str">
        <f t="shared" si="75"/>
        <v/>
      </c>
      <c r="K156" s="1222" t="str">
        <f t="shared" si="75"/>
        <v/>
      </c>
      <c r="L156" s="1222" t="str">
        <f t="shared" si="75"/>
        <v/>
      </c>
      <c r="M156" s="1859"/>
      <c r="N156" s="1861"/>
      <c r="O156" s="1861"/>
      <c r="P156" s="1863"/>
      <c r="Q156" s="1855"/>
      <c r="R156" s="1857"/>
      <c r="S156" s="1857"/>
      <c r="T156" s="1857"/>
      <c r="U156" s="1857"/>
      <c r="V156" s="1865"/>
      <c r="X156" s="1210" t="s">
        <v>388</v>
      </c>
      <c r="Y156" s="1221" t="str">
        <f>IF(OR(Y153&gt;0,Y154&gt;0,Y155&gt;0),1,"")</f>
        <v/>
      </c>
      <c r="Z156" s="1222" t="str">
        <f>IF(OR(Z153&gt;0,Z154&gt;0,Z155&gt;0),1,"")</f>
        <v/>
      </c>
      <c r="AA156" s="1222" t="str">
        <f t="shared" ref="AA156:AH156" si="76">IF(OR(AA153&gt;0,AA154&gt;0,AA155&gt;0),1,"")</f>
        <v/>
      </c>
      <c r="AB156" s="1222" t="str">
        <f t="shared" si="76"/>
        <v/>
      </c>
      <c r="AC156" s="1222" t="str">
        <f t="shared" si="76"/>
        <v/>
      </c>
      <c r="AD156" s="1222" t="str">
        <f t="shared" si="76"/>
        <v/>
      </c>
      <c r="AE156" s="1222" t="str">
        <f t="shared" si="76"/>
        <v/>
      </c>
      <c r="AF156" s="1222" t="str">
        <f t="shared" si="76"/>
        <v/>
      </c>
      <c r="AG156" s="1222" t="str">
        <f t="shared" si="76"/>
        <v/>
      </c>
      <c r="AH156" s="1222" t="str">
        <f t="shared" si="76"/>
        <v/>
      </c>
      <c r="AI156" s="1859"/>
      <c r="AJ156" s="1861"/>
      <c r="AK156" s="1861"/>
      <c r="AL156" s="1863"/>
      <c r="AM156" s="1855"/>
      <c r="AN156" s="1857"/>
      <c r="AO156" s="1857"/>
      <c r="AP156" s="1857"/>
      <c r="AQ156" s="1857"/>
      <c r="AR156" s="1865"/>
      <c r="AT156" s="1210" t="s">
        <v>388</v>
      </c>
      <c r="AU156" s="1221" t="str">
        <f>IF(OR(AU153&gt;0,AU154&gt;0,AU155&gt;0),1,"")</f>
        <v/>
      </c>
      <c r="AV156" s="1222" t="str">
        <f>IF(OR(AV153&gt;0,AV154&gt;0,AV155&gt;0),1,"")</f>
        <v/>
      </c>
      <c r="AW156" s="1222" t="str">
        <f t="shared" ref="AW156:BD156" si="77">IF(OR(AW153&gt;0,AW154&gt;0,AW155&gt;0),1,"")</f>
        <v/>
      </c>
      <c r="AX156" s="1222" t="str">
        <f t="shared" si="77"/>
        <v/>
      </c>
      <c r="AY156" s="1222" t="str">
        <f t="shared" si="77"/>
        <v/>
      </c>
      <c r="AZ156" s="1222" t="str">
        <f t="shared" si="77"/>
        <v/>
      </c>
      <c r="BA156" s="1222" t="str">
        <f t="shared" si="77"/>
        <v/>
      </c>
      <c r="BB156" s="1222" t="str">
        <f t="shared" si="77"/>
        <v/>
      </c>
      <c r="BC156" s="1222" t="str">
        <f t="shared" si="77"/>
        <v/>
      </c>
      <c r="BD156" s="1222" t="str">
        <f t="shared" si="77"/>
        <v/>
      </c>
      <c r="BE156" s="1859"/>
      <c r="BF156" s="1861"/>
      <c r="BG156" s="1861"/>
      <c r="BH156" s="1863"/>
      <c r="BI156" s="1855"/>
      <c r="BJ156" s="1857"/>
      <c r="BK156" s="1857"/>
      <c r="BL156" s="1857"/>
      <c r="BM156" s="1857"/>
      <c r="BN156" s="1865"/>
    </row>
    <row r="157" spans="2:66" ht="15" customHeight="1" thickTop="1">
      <c r="B157" s="1211" t="s">
        <v>387</v>
      </c>
      <c r="C157" s="1212"/>
      <c r="D157" s="1213"/>
      <c r="E157" s="1213"/>
      <c r="F157" s="1213"/>
      <c r="G157" s="1213"/>
      <c r="H157" s="1213"/>
      <c r="I157" s="1213"/>
      <c r="J157" s="1213"/>
      <c r="K157" s="1213"/>
      <c r="L157" s="1214"/>
      <c r="M157" s="1858">
        <f>SUM(C157:L157)</f>
        <v>0</v>
      </c>
      <c r="N157" s="1860">
        <f>SUM(C158:L158)</f>
        <v>0</v>
      </c>
      <c r="O157" s="1860">
        <f>SUM(C159:L159)</f>
        <v>0</v>
      </c>
      <c r="P157" s="1862">
        <f>SUM(C160:L160)</f>
        <v>0</v>
      </c>
      <c r="Q157" s="1854">
        <f>IF(G149="","",SUM(N157:P161))</f>
        <v>0</v>
      </c>
      <c r="R157" s="1856"/>
      <c r="S157" s="1856"/>
      <c r="T157" s="1856"/>
      <c r="U157" s="1856"/>
      <c r="V157" s="1864" t="s">
        <v>395</v>
      </c>
      <c r="X157" s="1211" t="s">
        <v>387</v>
      </c>
      <c r="Y157" s="1212"/>
      <c r="Z157" s="1213"/>
      <c r="AA157" s="1213"/>
      <c r="AB157" s="1213"/>
      <c r="AC157" s="1213"/>
      <c r="AD157" s="1213"/>
      <c r="AE157" s="1213"/>
      <c r="AF157" s="1213"/>
      <c r="AG157" s="1213"/>
      <c r="AH157" s="1214"/>
      <c r="AI157" s="1858">
        <f>SUM(Y157:AH157)</f>
        <v>0</v>
      </c>
      <c r="AJ157" s="1860">
        <f>SUM(Y158:AH158)</f>
        <v>0</v>
      </c>
      <c r="AK157" s="1860">
        <f>SUM(Y159:AH159)</f>
        <v>0</v>
      </c>
      <c r="AL157" s="1862">
        <f>SUM(Y160:AH160)</f>
        <v>0</v>
      </c>
      <c r="AM157" s="1854">
        <f>IF(AC149="","",SUM(AJ157:AL161))</f>
        <v>0</v>
      </c>
      <c r="AN157" s="1856"/>
      <c r="AO157" s="1856"/>
      <c r="AP157" s="1856"/>
      <c r="AQ157" s="1856"/>
      <c r="AR157" s="1864" t="s">
        <v>395</v>
      </c>
      <c r="AT157" s="1211" t="s">
        <v>387</v>
      </c>
      <c r="AU157" s="1212"/>
      <c r="AV157" s="1213"/>
      <c r="AW157" s="1213"/>
      <c r="AX157" s="1213"/>
      <c r="AY157" s="1213"/>
      <c r="AZ157" s="1213"/>
      <c r="BA157" s="1213"/>
      <c r="BB157" s="1213"/>
      <c r="BC157" s="1213"/>
      <c r="BD157" s="1214"/>
      <c r="BE157" s="1858">
        <f>SUM(AU157:BD157)</f>
        <v>0</v>
      </c>
      <c r="BF157" s="1860">
        <f>SUM(AU158:BD158)</f>
        <v>0</v>
      </c>
      <c r="BG157" s="1860">
        <f>SUM(AU159:BD159)</f>
        <v>0</v>
      </c>
      <c r="BH157" s="1862">
        <f>SUM(AU160:BD160)</f>
        <v>0</v>
      </c>
      <c r="BI157" s="1854" t="str">
        <f>IF(AY149="","",SUM(BF157:BH161))</f>
        <v/>
      </c>
      <c r="BJ157" s="1856"/>
      <c r="BK157" s="1856"/>
      <c r="BL157" s="1856"/>
      <c r="BM157" s="1856"/>
      <c r="BN157" s="1864" t="s">
        <v>395</v>
      </c>
    </row>
    <row r="158" spans="2:66" ht="13.5">
      <c r="B158" s="1198" t="s">
        <v>383</v>
      </c>
      <c r="C158" s="1199"/>
      <c r="D158" s="1200"/>
      <c r="E158" s="1200"/>
      <c r="F158" s="1200"/>
      <c r="G158" s="1200"/>
      <c r="H158" s="1200"/>
      <c r="I158" s="1200"/>
      <c r="J158" s="1200"/>
      <c r="K158" s="1200"/>
      <c r="L158" s="1201"/>
      <c r="M158" s="1843"/>
      <c r="N158" s="1846"/>
      <c r="O158" s="1846"/>
      <c r="P158" s="1849"/>
      <c r="Q158" s="1852"/>
      <c r="R158" s="1840"/>
      <c r="S158" s="1840"/>
      <c r="T158" s="1840"/>
      <c r="U158" s="1840"/>
      <c r="V158" s="1837"/>
      <c r="X158" s="1198" t="s">
        <v>383</v>
      </c>
      <c r="Y158" s="1199"/>
      <c r="Z158" s="1200"/>
      <c r="AA158" s="1200"/>
      <c r="AB158" s="1200"/>
      <c r="AC158" s="1200"/>
      <c r="AD158" s="1200"/>
      <c r="AE158" s="1200"/>
      <c r="AF158" s="1200"/>
      <c r="AG158" s="1200"/>
      <c r="AH158" s="1201"/>
      <c r="AI158" s="1843"/>
      <c r="AJ158" s="1846"/>
      <c r="AK158" s="1846"/>
      <c r="AL158" s="1849"/>
      <c r="AM158" s="1852"/>
      <c r="AN158" s="1840"/>
      <c r="AO158" s="1840"/>
      <c r="AP158" s="1840"/>
      <c r="AQ158" s="1840"/>
      <c r="AR158" s="1837"/>
      <c r="AT158" s="1198" t="s">
        <v>383</v>
      </c>
      <c r="AU158" s="1199"/>
      <c r="AV158" s="1200"/>
      <c r="AW158" s="1200"/>
      <c r="AX158" s="1200"/>
      <c r="AY158" s="1200"/>
      <c r="AZ158" s="1200"/>
      <c r="BA158" s="1200"/>
      <c r="BB158" s="1200"/>
      <c r="BC158" s="1200"/>
      <c r="BD158" s="1201"/>
      <c r="BE158" s="1843"/>
      <c r="BF158" s="1846"/>
      <c r="BG158" s="1846"/>
      <c r="BH158" s="1849"/>
      <c r="BI158" s="1852"/>
      <c r="BJ158" s="1840"/>
      <c r="BK158" s="1840"/>
      <c r="BL158" s="1840"/>
      <c r="BM158" s="1840"/>
      <c r="BN158" s="1837"/>
    </row>
    <row r="159" spans="2:66" ht="13.5">
      <c r="B159" s="1202" t="s">
        <v>384</v>
      </c>
      <c r="C159" s="1203"/>
      <c r="D159" s="1204"/>
      <c r="E159" s="1204"/>
      <c r="F159" s="1204"/>
      <c r="G159" s="1204"/>
      <c r="H159" s="1204"/>
      <c r="I159" s="1204"/>
      <c r="J159" s="1204"/>
      <c r="K159" s="1204"/>
      <c r="L159" s="1205"/>
      <c r="M159" s="1843"/>
      <c r="N159" s="1846"/>
      <c r="O159" s="1846"/>
      <c r="P159" s="1849"/>
      <c r="Q159" s="1852"/>
      <c r="R159" s="1840"/>
      <c r="S159" s="1840"/>
      <c r="T159" s="1840"/>
      <c r="U159" s="1840"/>
      <c r="V159" s="1837"/>
      <c r="X159" s="1202" t="s">
        <v>384</v>
      </c>
      <c r="Y159" s="1203"/>
      <c r="Z159" s="1204"/>
      <c r="AA159" s="1204"/>
      <c r="AB159" s="1204"/>
      <c r="AC159" s="1204"/>
      <c r="AD159" s="1204"/>
      <c r="AE159" s="1204"/>
      <c r="AF159" s="1204"/>
      <c r="AG159" s="1204"/>
      <c r="AH159" s="1205"/>
      <c r="AI159" s="1843"/>
      <c r="AJ159" s="1846"/>
      <c r="AK159" s="1846"/>
      <c r="AL159" s="1849"/>
      <c r="AM159" s="1852"/>
      <c r="AN159" s="1840"/>
      <c r="AO159" s="1840"/>
      <c r="AP159" s="1840"/>
      <c r="AQ159" s="1840"/>
      <c r="AR159" s="1837"/>
      <c r="AT159" s="1202" t="s">
        <v>384</v>
      </c>
      <c r="AU159" s="1203"/>
      <c r="AV159" s="1204"/>
      <c r="AW159" s="1204"/>
      <c r="AX159" s="1204"/>
      <c r="AY159" s="1204"/>
      <c r="AZ159" s="1204"/>
      <c r="BA159" s="1204"/>
      <c r="BB159" s="1204"/>
      <c r="BC159" s="1204"/>
      <c r="BD159" s="1205"/>
      <c r="BE159" s="1843"/>
      <c r="BF159" s="1846"/>
      <c r="BG159" s="1846"/>
      <c r="BH159" s="1849"/>
      <c r="BI159" s="1852"/>
      <c r="BJ159" s="1840"/>
      <c r="BK159" s="1840"/>
      <c r="BL159" s="1840"/>
      <c r="BM159" s="1840"/>
      <c r="BN159" s="1837"/>
    </row>
    <row r="160" spans="2:66" ht="13.5">
      <c r="B160" s="1202" t="s">
        <v>385</v>
      </c>
      <c r="C160" s="1203"/>
      <c r="D160" s="1204"/>
      <c r="E160" s="1204"/>
      <c r="F160" s="1204"/>
      <c r="G160" s="1204"/>
      <c r="H160" s="1204"/>
      <c r="I160" s="1204"/>
      <c r="J160" s="1204"/>
      <c r="K160" s="1204"/>
      <c r="L160" s="1205"/>
      <c r="M160" s="1843"/>
      <c r="N160" s="1846"/>
      <c r="O160" s="1846"/>
      <c r="P160" s="1849"/>
      <c r="Q160" s="1852"/>
      <c r="R160" s="1840"/>
      <c r="S160" s="1840"/>
      <c r="T160" s="1840"/>
      <c r="U160" s="1840"/>
      <c r="V160" s="1837"/>
      <c r="X160" s="1202" t="s">
        <v>385</v>
      </c>
      <c r="Y160" s="1203"/>
      <c r="Z160" s="1204"/>
      <c r="AA160" s="1204"/>
      <c r="AB160" s="1204"/>
      <c r="AC160" s="1204"/>
      <c r="AD160" s="1204"/>
      <c r="AE160" s="1204"/>
      <c r="AF160" s="1204"/>
      <c r="AG160" s="1204"/>
      <c r="AH160" s="1205"/>
      <c r="AI160" s="1843"/>
      <c r="AJ160" s="1846"/>
      <c r="AK160" s="1846"/>
      <c r="AL160" s="1849"/>
      <c r="AM160" s="1852"/>
      <c r="AN160" s="1840"/>
      <c r="AO160" s="1840"/>
      <c r="AP160" s="1840"/>
      <c r="AQ160" s="1840"/>
      <c r="AR160" s="1837"/>
      <c r="AT160" s="1202" t="s">
        <v>385</v>
      </c>
      <c r="AU160" s="1203"/>
      <c r="AV160" s="1204"/>
      <c r="AW160" s="1204"/>
      <c r="AX160" s="1204"/>
      <c r="AY160" s="1204"/>
      <c r="AZ160" s="1204"/>
      <c r="BA160" s="1204"/>
      <c r="BB160" s="1204"/>
      <c r="BC160" s="1204"/>
      <c r="BD160" s="1205"/>
      <c r="BE160" s="1843"/>
      <c r="BF160" s="1846"/>
      <c r="BG160" s="1846"/>
      <c r="BH160" s="1849"/>
      <c r="BI160" s="1852"/>
      <c r="BJ160" s="1840"/>
      <c r="BK160" s="1840"/>
      <c r="BL160" s="1840"/>
      <c r="BM160" s="1840"/>
      <c r="BN160" s="1837"/>
    </row>
    <row r="161" spans="2:66" ht="14" thickBot="1">
      <c r="B161" s="1210" t="s">
        <v>388</v>
      </c>
      <c r="C161" s="1221" t="str">
        <f>IF(OR(C158&gt;0,C159&gt;0,C160&gt;0),1,"")</f>
        <v/>
      </c>
      <c r="D161" s="1222" t="str">
        <f>IF(OR(D158&gt;0,D159&gt;0,D160&gt;0),1,"")</f>
        <v/>
      </c>
      <c r="E161" s="1222" t="str">
        <f t="shared" ref="E161:L161" si="78">IF(OR(E158&gt;0,E159&gt;0,E160&gt;0),1,"")</f>
        <v/>
      </c>
      <c r="F161" s="1222" t="str">
        <f t="shared" si="78"/>
        <v/>
      </c>
      <c r="G161" s="1222" t="str">
        <f t="shared" si="78"/>
        <v/>
      </c>
      <c r="H161" s="1222" t="str">
        <f t="shared" si="78"/>
        <v/>
      </c>
      <c r="I161" s="1222" t="str">
        <f t="shared" si="78"/>
        <v/>
      </c>
      <c r="J161" s="1222" t="str">
        <f t="shared" si="78"/>
        <v/>
      </c>
      <c r="K161" s="1222" t="str">
        <f t="shared" si="78"/>
        <v/>
      </c>
      <c r="L161" s="1222" t="str">
        <f t="shared" si="78"/>
        <v/>
      </c>
      <c r="M161" s="1859"/>
      <c r="N161" s="1861"/>
      <c r="O161" s="1861"/>
      <c r="P161" s="1863"/>
      <c r="Q161" s="1855"/>
      <c r="R161" s="1857"/>
      <c r="S161" s="1857"/>
      <c r="T161" s="1857"/>
      <c r="U161" s="1857"/>
      <c r="V161" s="1865"/>
      <c r="X161" s="1210" t="s">
        <v>388</v>
      </c>
      <c r="Y161" s="1221" t="str">
        <f>IF(OR(Y158&gt;0,Y159&gt;0,Y160&gt;0),1,"")</f>
        <v/>
      </c>
      <c r="Z161" s="1222" t="str">
        <f>IF(OR(Z158&gt;0,Z159&gt;0,Z160&gt;0),1,"")</f>
        <v/>
      </c>
      <c r="AA161" s="1222" t="str">
        <f t="shared" ref="AA161:AH161" si="79">IF(OR(AA158&gt;0,AA159&gt;0,AA160&gt;0),1,"")</f>
        <v/>
      </c>
      <c r="AB161" s="1222" t="str">
        <f t="shared" si="79"/>
        <v/>
      </c>
      <c r="AC161" s="1222" t="str">
        <f t="shared" si="79"/>
        <v/>
      </c>
      <c r="AD161" s="1222" t="str">
        <f t="shared" si="79"/>
        <v/>
      </c>
      <c r="AE161" s="1222" t="str">
        <f t="shared" si="79"/>
        <v/>
      </c>
      <c r="AF161" s="1222" t="str">
        <f t="shared" si="79"/>
        <v/>
      </c>
      <c r="AG161" s="1222" t="str">
        <f t="shared" si="79"/>
        <v/>
      </c>
      <c r="AH161" s="1222" t="str">
        <f t="shared" si="79"/>
        <v/>
      </c>
      <c r="AI161" s="1859"/>
      <c r="AJ161" s="1861"/>
      <c r="AK161" s="1861"/>
      <c r="AL161" s="1863"/>
      <c r="AM161" s="1855"/>
      <c r="AN161" s="1857"/>
      <c r="AO161" s="1857"/>
      <c r="AP161" s="1857"/>
      <c r="AQ161" s="1857"/>
      <c r="AR161" s="1865"/>
      <c r="AT161" s="1210" t="s">
        <v>388</v>
      </c>
      <c r="AU161" s="1221" t="str">
        <f>IF(OR(AU158&gt;0,AU159&gt;0,AU160&gt;0),1,"")</f>
        <v/>
      </c>
      <c r="AV161" s="1222" t="str">
        <f>IF(OR(AV158&gt;0,AV159&gt;0,AV160&gt;0),1,"")</f>
        <v/>
      </c>
      <c r="AW161" s="1222" t="str">
        <f t="shared" ref="AW161:BD161" si="80">IF(OR(AW158&gt;0,AW159&gt;0,AW160&gt;0),1,"")</f>
        <v/>
      </c>
      <c r="AX161" s="1222" t="str">
        <f t="shared" si="80"/>
        <v/>
      </c>
      <c r="AY161" s="1222" t="str">
        <f t="shared" si="80"/>
        <v/>
      </c>
      <c r="AZ161" s="1222" t="str">
        <f t="shared" si="80"/>
        <v/>
      </c>
      <c r="BA161" s="1222" t="str">
        <f t="shared" si="80"/>
        <v/>
      </c>
      <c r="BB161" s="1222" t="str">
        <f t="shared" si="80"/>
        <v/>
      </c>
      <c r="BC161" s="1222" t="str">
        <f t="shared" si="80"/>
        <v/>
      </c>
      <c r="BD161" s="1222" t="str">
        <f t="shared" si="80"/>
        <v/>
      </c>
      <c r="BE161" s="1859"/>
      <c r="BF161" s="1861"/>
      <c r="BG161" s="1861"/>
      <c r="BH161" s="1863"/>
      <c r="BI161" s="1855"/>
      <c r="BJ161" s="1857"/>
      <c r="BK161" s="1857"/>
      <c r="BL161" s="1857"/>
      <c r="BM161" s="1857"/>
      <c r="BN161" s="1865"/>
    </row>
    <row r="162" spans="2:66" ht="15" customHeight="1" thickTop="1">
      <c r="B162" s="1194" t="s">
        <v>387</v>
      </c>
      <c r="C162" s="1195"/>
      <c r="D162" s="1196"/>
      <c r="E162" s="1196"/>
      <c r="F162" s="1196"/>
      <c r="G162" s="1196"/>
      <c r="H162" s="1196"/>
      <c r="I162" s="1196"/>
      <c r="J162" s="1196"/>
      <c r="K162" s="1196"/>
      <c r="L162" s="1197"/>
      <c r="M162" s="1858">
        <f>SUM(C162:L162)</f>
        <v>0</v>
      </c>
      <c r="N162" s="1860">
        <f>SUM(C163:L163)</f>
        <v>0</v>
      </c>
      <c r="O162" s="1860">
        <f>SUM(C164:L164)</f>
        <v>0</v>
      </c>
      <c r="P162" s="1862">
        <f>SUM(C165:L165)</f>
        <v>0</v>
      </c>
      <c r="Q162" s="1854">
        <f>IF(G149="","",SUM(N162:P166))</f>
        <v>0</v>
      </c>
      <c r="R162" s="1856"/>
      <c r="S162" s="1856"/>
      <c r="T162" s="1856"/>
      <c r="U162" s="1856"/>
      <c r="V162" s="1864" t="s">
        <v>395</v>
      </c>
      <c r="X162" s="1194" t="s">
        <v>387</v>
      </c>
      <c r="Y162" s="1195"/>
      <c r="Z162" s="1196"/>
      <c r="AA162" s="1196"/>
      <c r="AB162" s="1196"/>
      <c r="AC162" s="1196"/>
      <c r="AD162" s="1196"/>
      <c r="AE162" s="1196"/>
      <c r="AF162" s="1196"/>
      <c r="AG162" s="1196"/>
      <c r="AH162" s="1197"/>
      <c r="AI162" s="1858">
        <f>SUM(Y162:AH162)</f>
        <v>0</v>
      </c>
      <c r="AJ162" s="1860">
        <f>SUM(Y163:AH163)</f>
        <v>0</v>
      </c>
      <c r="AK162" s="1860">
        <f>SUM(Y164:AH164)</f>
        <v>0</v>
      </c>
      <c r="AL162" s="1862">
        <f>SUM(Y165:AH165)</f>
        <v>0</v>
      </c>
      <c r="AM162" s="1854">
        <f>IF(AC149="","",SUM(AJ162:AL166))</f>
        <v>0</v>
      </c>
      <c r="AN162" s="1856"/>
      <c r="AO162" s="1856"/>
      <c r="AP162" s="1856"/>
      <c r="AQ162" s="1856"/>
      <c r="AR162" s="1864" t="s">
        <v>395</v>
      </c>
      <c r="AT162" s="1194" t="s">
        <v>387</v>
      </c>
      <c r="AU162" s="1195"/>
      <c r="AV162" s="1196"/>
      <c r="AW162" s="1196"/>
      <c r="AX162" s="1196"/>
      <c r="AY162" s="1196"/>
      <c r="AZ162" s="1196"/>
      <c r="BA162" s="1196"/>
      <c r="BB162" s="1196"/>
      <c r="BC162" s="1196"/>
      <c r="BD162" s="1197"/>
      <c r="BE162" s="1858">
        <f>SUM(AU162:BD162)</f>
        <v>0</v>
      </c>
      <c r="BF162" s="1860">
        <f>SUM(AU163:BD163)</f>
        <v>0</v>
      </c>
      <c r="BG162" s="1860">
        <f>SUM(AU164:BD164)</f>
        <v>0</v>
      </c>
      <c r="BH162" s="1862">
        <f>SUM(AU165:BD165)</f>
        <v>0</v>
      </c>
      <c r="BI162" s="1854" t="str">
        <f>IF(AY149="","",SUM(BF162:BH166))</f>
        <v/>
      </c>
      <c r="BJ162" s="1856"/>
      <c r="BK162" s="1856"/>
      <c r="BL162" s="1856"/>
      <c r="BM162" s="1856"/>
      <c r="BN162" s="1864" t="s">
        <v>395</v>
      </c>
    </row>
    <row r="163" spans="2:66" ht="13.5">
      <c r="B163" s="1198" t="s">
        <v>383</v>
      </c>
      <c r="C163" s="1199"/>
      <c r="D163" s="1200"/>
      <c r="E163" s="1200"/>
      <c r="F163" s="1200"/>
      <c r="G163" s="1200"/>
      <c r="H163" s="1200"/>
      <c r="I163" s="1200"/>
      <c r="J163" s="1200"/>
      <c r="K163" s="1200"/>
      <c r="L163" s="1201"/>
      <c r="M163" s="1843"/>
      <c r="N163" s="1846"/>
      <c r="O163" s="1846"/>
      <c r="P163" s="1849"/>
      <c r="Q163" s="1852"/>
      <c r="R163" s="1840"/>
      <c r="S163" s="1840"/>
      <c r="T163" s="1840"/>
      <c r="U163" s="1840"/>
      <c r="V163" s="1837"/>
      <c r="X163" s="1198" t="s">
        <v>383</v>
      </c>
      <c r="Y163" s="1199"/>
      <c r="Z163" s="1200"/>
      <c r="AA163" s="1200"/>
      <c r="AB163" s="1200"/>
      <c r="AC163" s="1200"/>
      <c r="AD163" s="1200"/>
      <c r="AE163" s="1200"/>
      <c r="AF163" s="1200"/>
      <c r="AG163" s="1200"/>
      <c r="AH163" s="1201"/>
      <c r="AI163" s="1843"/>
      <c r="AJ163" s="1846"/>
      <c r="AK163" s="1846"/>
      <c r="AL163" s="1849"/>
      <c r="AM163" s="1852"/>
      <c r="AN163" s="1840"/>
      <c r="AO163" s="1840"/>
      <c r="AP163" s="1840"/>
      <c r="AQ163" s="1840"/>
      <c r="AR163" s="1837"/>
      <c r="AT163" s="1198" t="s">
        <v>383</v>
      </c>
      <c r="AU163" s="1199"/>
      <c r="AV163" s="1200"/>
      <c r="AW163" s="1200"/>
      <c r="AX163" s="1200"/>
      <c r="AY163" s="1200"/>
      <c r="AZ163" s="1200"/>
      <c r="BA163" s="1200"/>
      <c r="BB163" s="1200"/>
      <c r="BC163" s="1200"/>
      <c r="BD163" s="1201"/>
      <c r="BE163" s="1843"/>
      <c r="BF163" s="1846"/>
      <c r="BG163" s="1846"/>
      <c r="BH163" s="1849"/>
      <c r="BI163" s="1852"/>
      <c r="BJ163" s="1840"/>
      <c r="BK163" s="1840"/>
      <c r="BL163" s="1840"/>
      <c r="BM163" s="1840"/>
      <c r="BN163" s="1837"/>
    </row>
    <row r="164" spans="2:66" ht="13.5">
      <c r="B164" s="1202" t="s">
        <v>384</v>
      </c>
      <c r="C164" s="1203"/>
      <c r="D164" s="1204"/>
      <c r="E164" s="1204"/>
      <c r="F164" s="1204"/>
      <c r="G164" s="1204"/>
      <c r="H164" s="1204"/>
      <c r="I164" s="1204"/>
      <c r="J164" s="1204"/>
      <c r="K164" s="1204"/>
      <c r="L164" s="1205"/>
      <c r="M164" s="1843"/>
      <c r="N164" s="1846"/>
      <c r="O164" s="1846"/>
      <c r="P164" s="1849"/>
      <c r="Q164" s="1852"/>
      <c r="R164" s="1840"/>
      <c r="S164" s="1840"/>
      <c r="T164" s="1840"/>
      <c r="U164" s="1840"/>
      <c r="V164" s="1837"/>
      <c r="X164" s="1202" t="s">
        <v>384</v>
      </c>
      <c r="Y164" s="1203"/>
      <c r="Z164" s="1204"/>
      <c r="AA164" s="1204"/>
      <c r="AB164" s="1204"/>
      <c r="AC164" s="1204"/>
      <c r="AD164" s="1204"/>
      <c r="AE164" s="1204"/>
      <c r="AF164" s="1204"/>
      <c r="AG164" s="1204"/>
      <c r="AH164" s="1205"/>
      <c r="AI164" s="1843"/>
      <c r="AJ164" s="1846"/>
      <c r="AK164" s="1846"/>
      <c r="AL164" s="1849"/>
      <c r="AM164" s="1852"/>
      <c r="AN164" s="1840"/>
      <c r="AO164" s="1840"/>
      <c r="AP164" s="1840"/>
      <c r="AQ164" s="1840"/>
      <c r="AR164" s="1837"/>
      <c r="AT164" s="1202" t="s">
        <v>384</v>
      </c>
      <c r="AU164" s="1203"/>
      <c r="AV164" s="1204"/>
      <c r="AW164" s="1204"/>
      <c r="AX164" s="1204"/>
      <c r="AY164" s="1204"/>
      <c r="AZ164" s="1204"/>
      <c r="BA164" s="1204"/>
      <c r="BB164" s="1204"/>
      <c r="BC164" s="1204"/>
      <c r="BD164" s="1205"/>
      <c r="BE164" s="1843"/>
      <c r="BF164" s="1846"/>
      <c r="BG164" s="1846"/>
      <c r="BH164" s="1849"/>
      <c r="BI164" s="1852"/>
      <c r="BJ164" s="1840"/>
      <c r="BK164" s="1840"/>
      <c r="BL164" s="1840"/>
      <c r="BM164" s="1840"/>
      <c r="BN164" s="1837"/>
    </row>
    <row r="165" spans="2:66" ht="13.5">
      <c r="B165" s="1206" t="s">
        <v>385</v>
      </c>
      <c r="C165" s="1207"/>
      <c r="D165" s="1208"/>
      <c r="E165" s="1208"/>
      <c r="F165" s="1208"/>
      <c r="G165" s="1208"/>
      <c r="H165" s="1208"/>
      <c r="I165" s="1208"/>
      <c r="J165" s="1208"/>
      <c r="K165" s="1208"/>
      <c r="L165" s="1209"/>
      <c r="M165" s="1843"/>
      <c r="N165" s="1846"/>
      <c r="O165" s="1846"/>
      <c r="P165" s="1849"/>
      <c r="Q165" s="1852"/>
      <c r="R165" s="1840"/>
      <c r="S165" s="1840"/>
      <c r="T165" s="1840"/>
      <c r="U165" s="1840"/>
      <c r="V165" s="1837"/>
      <c r="X165" s="1206" t="s">
        <v>385</v>
      </c>
      <c r="Y165" s="1207"/>
      <c r="Z165" s="1208"/>
      <c r="AA165" s="1208"/>
      <c r="AB165" s="1208"/>
      <c r="AC165" s="1208"/>
      <c r="AD165" s="1208"/>
      <c r="AE165" s="1208"/>
      <c r="AF165" s="1208"/>
      <c r="AG165" s="1208"/>
      <c r="AH165" s="1209"/>
      <c r="AI165" s="1843"/>
      <c r="AJ165" s="1846"/>
      <c r="AK165" s="1846"/>
      <c r="AL165" s="1849"/>
      <c r="AM165" s="1852"/>
      <c r="AN165" s="1840"/>
      <c r="AO165" s="1840"/>
      <c r="AP165" s="1840"/>
      <c r="AQ165" s="1840"/>
      <c r="AR165" s="1837"/>
      <c r="AT165" s="1206" t="s">
        <v>385</v>
      </c>
      <c r="AU165" s="1207"/>
      <c r="AV165" s="1208"/>
      <c r="AW165" s="1208"/>
      <c r="AX165" s="1208"/>
      <c r="AY165" s="1208"/>
      <c r="AZ165" s="1208"/>
      <c r="BA165" s="1208"/>
      <c r="BB165" s="1208"/>
      <c r="BC165" s="1208"/>
      <c r="BD165" s="1209"/>
      <c r="BE165" s="1843"/>
      <c r="BF165" s="1846"/>
      <c r="BG165" s="1846"/>
      <c r="BH165" s="1849"/>
      <c r="BI165" s="1852"/>
      <c r="BJ165" s="1840"/>
      <c r="BK165" s="1840"/>
      <c r="BL165" s="1840"/>
      <c r="BM165" s="1840"/>
      <c r="BN165" s="1837"/>
    </row>
    <row r="166" spans="2:66" ht="14" thickBot="1">
      <c r="B166" s="1210" t="s">
        <v>388</v>
      </c>
      <c r="C166" s="1221" t="str">
        <f>IF(OR(C163&gt;0,C164&gt;0,C165&gt;0),1,"")</f>
        <v/>
      </c>
      <c r="D166" s="1222" t="str">
        <f>IF(OR(D163&gt;0,D164&gt;0,D165&gt;0),1,"")</f>
        <v/>
      </c>
      <c r="E166" s="1222" t="str">
        <f t="shared" ref="E166:L166" si="81">IF(OR(E163&gt;0,E164&gt;0,E165&gt;0),1,"")</f>
        <v/>
      </c>
      <c r="F166" s="1222" t="str">
        <f t="shared" si="81"/>
        <v/>
      </c>
      <c r="G166" s="1222" t="str">
        <f t="shared" si="81"/>
        <v/>
      </c>
      <c r="H166" s="1222" t="str">
        <f t="shared" si="81"/>
        <v/>
      </c>
      <c r="I166" s="1222" t="str">
        <f t="shared" si="81"/>
        <v/>
      </c>
      <c r="J166" s="1222" t="str">
        <f t="shared" si="81"/>
        <v/>
      </c>
      <c r="K166" s="1222" t="str">
        <f t="shared" si="81"/>
        <v/>
      </c>
      <c r="L166" s="1222" t="str">
        <f t="shared" si="81"/>
        <v/>
      </c>
      <c r="M166" s="1859"/>
      <c r="N166" s="1861"/>
      <c r="O166" s="1861"/>
      <c r="P166" s="1863"/>
      <c r="Q166" s="1855"/>
      <c r="R166" s="1857"/>
      <c r="S166" s="1857"/>
      <c r="T166" s="1857"/>
      <c r="U166" s="1857"/>
      <c r="V166" s="1865"/>
      <c r="X166" s="1210" t="s">
        <v>388</v>
      </c>
      <c r="Y166" s="1221" t="str">
        <f>IF(OR(Y163&gt;0,Y164&gt;0,Y165&gt;0),1,"")</f>
        <v/>
      </c>
      <c r="Z166" s="1222" t="str">
        <f>IF(OR(Z163&gt;0,Z164&gt;0,Z165&gt;0),1,"")</f>
        <v/>
      </c>
      <c r="AA166" s="1222" t="str">
        <f t="shared" ref="AA166:AH166" si="82">IF(OR(AA163&gt;0,AA164&gt;0,AA165&gt;0),1,"")</f>
        <v/>
      </c>
      <c r="AB166" s="1222" t="str">
        <f t="shared" si="82"/>
        <v/>
      </c>
      <c r="AC166" s="1222" t="str">
        <f t="shared" si="82"/>
        <v/>
      </c>
      <c r="AD166" s="1222" t="str">
        <f t="shared" si="82"/>
        <v/>
      </c>
      <c r="AE166" s="1222" t="str">
        <f t="shared" si="82"/>
        <v/>
      </c>
      <c r="AF166" s="1222" t="str">
        <f t="shared" si="82"/>
        <v/>
      </c>
      <c r="AG166" s="1222" t="str">
        <f t="shared" si="82"/>
        <v/>
      </c>
      <c r="AH166" s="1222" t="str">
        <f t="shared" si="82"/>
        <v/>
      </c>
      <c r="AI166" s="1859"/>
      <c r="AJ166" s="1861"/>
      <c r="AK166" s="1861"/>
      <c r="AL166" s="1863"/>
      <c r="AM166" s="1855"/>
      <c r="AN166" s="1857"/>
      <c r="AO166" s="1857"/>
      <c r="AP166" s="1857"/>
      <c r="AQ166" s="1857"/>
      <c r="AR166" s="1865"/>
      <c r="AT166" s="1210" t="s">
        <v>388</v>
      </c>
      <c r="AU166" s="1221" t="str">
        <f>IF(OR(AU163&gt;0,AU164&gt;0,AU165&gt;0),1,"")</f>
        <v/>
      </c>
      <c r="AV166" s="1222" t="str">
        <f>IF(OR(AV163&gt;0,AV164&gt;0,AV165&gt;0),1,"")</f>
        <v/>
      </c>
      <c r="AW166" s="1222" t="str">
        <f t="shared" ref="AW166:BD166" si="83">IF(OR(AW163&gt;0,AW164&gt;0,AW165&gt;0),1,"")</f>
        <v/>
      </c>
      <c r="AX166" s="1222" t="str">
        <f t="shared" si="83"/>
        <v/>
      </c>
      <c r="AY166" s="1222" t="str">
        <f t="shared" si="83"/>
        <v/>
      </c>
      <c r="AZ166" s="1222" t="str">
        <f t="shared" si="83"/>
        <v/>
      </c>
      <c r="BA166" s="1222" t="str">
        <f t="shared" si="83"/>
        <v/>
      </c>
      <c r="BB166" s="1222" t="str">
        <f t="shared" si="83"/>
        <v/>
      </c>
      <c r="BC166" s="1222" t="str">
        <f t="shared" si="83"/>
        <v/>
      </c>
      <c r="BD166" s="1222" t="str">
        <f t="shared" si="83"/>
        <v/>
      </c>
      <c r="BE166" s="1859"/>
      <c r="BF166" s="1861"/>
      <c r="BG166" s="1861"/>
      <c r="BH166" s="1863"/>
      <c r="BI166" s="1855"/>
      <c r="BJ166" s="1857"/>
      <c r="BK166" s="1857"/>
      <c r="BL166" s="1857"/>
      <c r="BM166" s="1857"/>
      <c r="BN166" s="1865"/>
    </row>
    <row r="167" spans="2:66" ht="15" customHeight="1" thickTop="1">
      <c r="B167" s="1194" t="s">
        <v>387</v>
      </c>
      <c r="C167" s="1195"/>
      <c r="D167" s="1196"/>
      <c r="E167" s="1196"/>
      <c r="F167" s="1196"/>
      <c r="G167" s="1196"/>
      <c r="H167" s="1196"/>
      <c r="I167" s="1196"/>
      <c r="J167" s="1196"/>
      <c r="K167" s="1196"/>
      <c r="L167" s="1197"/>
      <c r="M167" s="1858">
        <f>SUM(C167:L167)</f>
        <v>0</v>
      </c>
      <c r="N167" s="1860">
        <f>SUM(C168:L168)</f>
        <v>0</v>
      </c>
      <c r="O167" s="1860">
        <f>SUM(C169:L169)</f>
        <v>0</v>
      </c>
      <c r="P167" s="1862">
        <f>SUM(C170:L170)</f>
        <v>0</v>
      </c>
      <c r="Q167" s="1854">
        <f>IF(G149="","",SUM(N167:P171))</f>
        <v>0</v>
      </c>
      <c r="R167" s="1856"/>
      <c r="S167" s="1856"/>
      <c r="T167" s="1856"/>
      <c r="U167" s="1856"/>
      <c r="V167" s="1864" t="s">
        <v>395</v>
      </c>
      <c r="X167" s="1194" t="s">
        <v>387</v>
      </c>
      <c r="Y167" s="1195"/>
      <c r="Z167" s="1196"/>
      <c r="AA167" s="1196"/>
      <c r="AB167" s="1196"/>
      <c r="AC167" s="1196"/>
      <c r="AD167" s="1196"/>
      <c r="AE167" s="1196"/>
      <c r="AF167" s="1196"/>
      <c r="AG167" s="1196"/>
      <c r="AH167" s="1197"/>
      <c r="AI167" s="1858">
        <f>SUM(Y167:AH167)</f>
        <v>0</v>
      </c>
      <c r="AJ167" s="1860">
        <f>SUM(Y168:AH168)</f>
        <v>0</v>
      </c>
      <c r="AK167" s="1860">
        <f>SUM(Y169:AH169)</f>
        <v>0</v>
      </c>
      <c r="AL167" s="1862">
        <f>SUM(Y170:AH170)</f>
        <v>0</v>
      </c>
      <c r="AM167" s="1854">
        <f>IF(AC149="","",SUM(AJ167:AL171))</f>
        <v>0</v>
      </c>
      <c r="AN167" s="1856"/>
      <c r="AO167" s="1856"/>
      <c r="AP167" s="1856"/>
      <c r="AQ167" s="1856"/>
      <c r="AR167" s="1864" t="s">
        <v>395</v>
      </c>
      <c r="AT167" s="1194" t="s">
        <v>387</v>
      </c>
      <c r="AU167" s="1195"/>
      <c r="AV167" s="1196"/>
      <c r="AW167" s="1196"/>
      <c r="AX167" s="1196"/>
      <c r="AY167" s="1196"/>
      <c r="AZ167" s="1196"/>
      <c r="BA167" s="1196"/>
      <c r="BB167" s="1196"/>
      <c r="BC167" s="1196"/>
      <c r="BD167" s="1197"/>
      <c r="BE167" s="1858">
        <f>SUM(AU167:BD167)</f>
        <v>0</v>
      </c>
      <c r="BF167" s="1860">
        <f>SUM(AU168:BD168)</f>
        <v>0</v>
      </c>
      <c r="BG167" s="1860">
        <f>SUM(AU169:BD169)</f>
        <v>0</v>
      </c>
      <c r="BH167" s="1862">
        <f>SUM(AU170:BD170)</f>
        <v>0</v>
      </c>
      <c r="BI167" s="1854" t="str">
        <f>IF(AY149="","",SUM(BF167:BH171))</f>
        <v/>
      </c>
      <c r="BJ167" s="1856"/>
      <c r="BK167" s="1856"/>
      <c r="BL167" s="1856"/>
      <c r="BM167" s="1856"/>
      <c r="BN167" s="1864" t="s">
        <v>395</v>
      </c>
    </row>
    <row r="168" spans="2:66" ht="13.5">
      <c r="B168" s="1198" t="s">
        <v>383</v>
      </c>
      <c r="C168" s="1199"/>
      <c r="D168" s="1200"/>
      <c r="E168" s="1200"/>
      <c r="F168" s="1200"/>
      <c r="G168" s="1200"/>
      <c r="H168" s="1200"/>
      <c r="I168" s="1200"/>
      <c r="J168" s="1200"/>
      <c r="K168" s="1200"/>
      <c r="L168" s="1201"/>
      <c r="M168" s="1843"/>
      <c r="N168" s="1846"/>
      <c r="O168" s="1846"/>
      <c r="P168" s="1849"/>
      <c r="Q168" s="1852"/>
      <c r="R168" s="1840"/>
      <c r="S168" s="1840"/>
      <c r="T168" s="1840"/>
      <c r="U168" s="1840"/>
      <c r="V168" s="1837"/>
      <c r="X168" s="1198" t="s">
        <v>383</v>
      </c>
      <c r="Y168" s="1199"/>
      <c r="Z168" s="1200"/>
      <c r="AA168" s="1200"/>
      <c r="AB168" s="1200"/>
      <c r="AC168" s="1200"/>
      <c r="AD168" s="1200"/>
      <c r="AE168" s="1200"/>
      <c r="AF168" s="1200"/>
      <c r="AG168" s="1200"/>
      <c r="AH168" s="1201"/>
      <c r="AI168" s="1843"/>
      <c r="AJ168" s="1846"/>
      <c r="AK168" s="1846"/>
      <c r="AL168" s="1849"/>
      <c r="AM168" s="1852"/>
      <c r="AN168" s="1840"/>
      <c r="AO168" s="1840"/>
      <c r="AP168" s="1840"/>
      <c r="AQ168" s="1840"/>
      <c r="AR168" s="1837"/>
      <c r="AT168" s="1198" t="s">
        <v>383</v>
      </c>
      <c r="AU168" s="1199"/>
      <c r="AV168" s="1200"/>
      <c r="AW168" s="1200"/>
      <c r="AX168" s="1200"/>
      <c r="AY168" s="1200"/>
      <c r="AZ168" s="1200"/>
      <c r="BA168" s="1200"/>
      <c r="BB168" s="1200"/>
      <c r="BC168" s="1200"/>
      <c r="BD168" s="1201"/>
      <c r="BE168" s="1843"/>
      <c r="BF168" s="1846"/>
      <c r="BG168" s="1846"/>
      <c r="BH168" s="1849"/>
      <c r="BI168" s="1852"/>
      <c r="BJ168" s="1840"/>
      <c r="BK168" s="1840"/>
      <c r="BL168" s="1840"/>
      <c r="BM168" s="1840"/>
      <c r="BN168" s="1837"/>
    </row>
    <row r="169" spans="2:66" ht="13.5">
      <c r="B169" s="1202" t="s">
        <v>384</v>
      </c>
      <c r="C169" s="1203"/>
      <c r="D169" s="1204"/>
      <c r="E169" s="1204"/>
      <c r="F169" s="1204"/>
      <c r="G169" s="1204"/>
      <c r="H169" s="1204"/>
      <c r="I169" s="1204"/>
      <c r="J169" s="1204"/>
      <c r="K169" s="1204"/>
      <c r="L169" s="1205"/>
      <c r="M169" s="1843"/>
      <c r="N169" s="1846"/>
      <c r="O169" s="1846"/>
      <c r="P169" s="1849"/>
      <c r="Q169" s="1852"/>
      <c r="R169" s="1840"/>
      <c r="S169" s="1840"/>
      <c r="T169" s="1840"/>
      <c r="U169" s="1840"/>
      <c r="V169" s="1837"/>
      <c r="X169" s="1202" t="s">
        <v>384</v>
      </c>
      <c r="Y169" s="1203"/>
      <c r="Z169" s="1204"/>
      <c r="AA169" s="1204"/>
      <c r="AB169" s="1204"/>
      <c r="AC169" s="1204"/>
      <c r="AD169" s="1204"/>
      <c r="AE169" s="1204"/>
      <c r="AF169" s="1204"/>
      <c r="AG169" s="1204"/>
      <c r="AH169" s="1205"/>
      <c r="AI169" s="1843"/>
      <c r="AJ169" s="1846"/>
      <c r="AK169" s="1846"/>
      <c r="AL169" s="1849"/>
      <c r="AM169" s="1852"/>
      <c r="AN169" s="1840"/>
      <c r="AO169" s="1840"/>
      <c r="AP169" s="1840"/>
      <c r="AQ169" s="1840"/>
      <c r="AR169" s="1837"/>
      <c r="AT169" s="1202" t="s">
        <v>384</v>
      </c>
      <c r="AU169" s="1203"/>
      <c r="AV169" s="1204"/>
      <c r="AW169" s="1204"/>
      <c r="AX169" s="1204"/>
      <c r="AY169" s="1204"/>
      <c r="AZ169" s="1204"/>
      <c r="BA169" s="1204"/>
      <c r="BB169" s="1204"/>
      <c r="BC169" s="1204"/>
      <c r="BD169" s="1205"/>
      <c r="BE169" s="1843"/>
      <c r="BF169" s="1846"/>
      <c r="BG169" s="1846"/>
      <c r="BH169" s="1849"/>
      <c r="BI169" s="1852"/>
      <c r="BJ169" s="1840"/>
      <c r="BK169" s="1840"/>
      <c r="BL169" s="1840"/>
      <c r="BM169" s="1840"/>
      <c r="BN169" s="1837"/>
    </row>
    <row r="170" spans="2:66" ht="13.5">
      <c r="B170" s="1206" t="s">
        <v>385</v>
      </c>
      <c r="C170" s="1207"/>
      <c r="D170" s="1208"/>
      <c r="E170" s="1208"/>
      <c r="F170" s="1208"/>
      <c r="G170" s="1208"/>
      <c r="H170" s="1208"/>
      <c r="I170" s="1208"/>
      <c r="J170" s="1208"/>
      <c r="K170" s="1208"/>
      <c r="L170" s="1209"/>
      <c r="M170" s="1843"/>
      <c r="N170" s="1846"/>
      <c r="O170" s="1846"/>
      <c r="P170" s="1849"/>
      <c r="Q170" s="1852"/>
      <c r="R170" s="1840"/>
      <c r="S170" s="1840"/>
      <c r="T170" s="1840"/>
      <c r="U170" s="1840"/>
      <c r="V170" s="1837"/>
      <c r="X170" s="1206" t="s">
        <v>385</v>
      </c>
      <c r="Y170" s="1207"/>
      <c r="Z170" s="1208"/>
      <c r="AA170" s="1208"/>
      <c r="AB170" s="1208"/>
      <c r="AC170" s="1208"/>
      <c r="AD170" s="1208"/>
      <c r="AE170" s="1208"/>
      <c r="AF170" s="1208"/>
      <c r="AG170" s="1208"/>
      <c r="AH170" s="1209"/>
      <c r="AI170" s="1843"/>
      <c r="AJ170" s="1846"/>
      <c r="AK170" s="1846"/>
      <c r="AL170" s="1849"/>
      <c r="AM170" s="1852"/>
      <c r="AN170" s="1840"/>
      <c r="AO170" s="1840"/>
      <c r="AP170" s="1840"/>
      <c r="AQ170" s="1840"/>
      <c r="AR170" s="1837"/>
      <c r="AT170" s="1206" t="s">
        <v>385</v>
      </c>
      <c r="AU170" s="1207"/>
      <c r="AV170" s="1208"/>
      <c r="AW170" s="1208"/>
      <c r="AX170" s="1208"/>
      <c r="AY170" s="1208"/>
      <c r="AZ170" s="1208"/>
      <c r="BA170" s="1208"/>
      <c r="BB170" s="1208"/>
      <c r="BC170" s="1208"/>
      <c r="BD170" s="1209"/>
      <c r="BE170" s="1843"/>
      <c r="BF170" s="1846"/>
      <c r="BG170" s="1846"/>
      <c r="BH170" s="1849"/>
      <c r="BI170" s="1852"/>
      <c r="BJ170" s="1840"/>
      <c r="BK170" s="1840"/>
      <c r="BL170" s="1840"/>
      <c r="BM170" s="1840"/>
      <c r="BN170" s="1837"/>
    </row>
    <row r="171" spans="2:66" ht="14" thickBot="1">
      <c r="B171" s="1210" t="s">
        <v>388</v>
      </c>
      <c r="C171" s="1221" t="str">
        <f>IF(OR(C168&gt;0,C169&gt;0,C170&gt;0),1,"")</f>
        <v/>
      </c>
      <c r="D171" s="1222" t="str">
        <f>IF(OR(D168&gt;0,D169&gt;0,D170&gt;0),1,"")</f>
        <v/>
      </c>
      <c r="E171" s="1222" t="str">
        <f t="shared" ref="E171:L171" si="84">IF(OR(E168&gt;0,E169&gt;0,E170&gt;0),1,"")</f>
        <v/>
      </c>
      <c r="F171" s="1222" t="str">
        <f t="shared" si="84"/>
        <v/>
      </c>
      <c r="G171" s="1222" t="str">
        <f t="shared" si="84"/>
        <v/>
      </c>
      <c r="H171" s="1222" t="str">
        <f t="shared" si="84"/>
        <v/>
      </c>
      <c r="I171" s="1222" t="str">
        <f t="shared" si="84"/>
        <v/>
      </c>
      <c r="J171" s="1222" t="str">
        <f t="shared" si="84"/>
        <v/>
      </c>
      <c r="K171" s="1222" t="str">
        <f t="shared" si="84"/>
        <v/>
      </c>
      <c r="L171" s="1222" t="str">
        <f t="shared" si="84"/>
        <v/>
      </c>
      <c r="M171" s="1859"/>
      <c r="N171" s="1861"/>
      <c r="O171" s="1861"/>
      <c r="P171" s="1863"/>
      <c r="Q171" s="1855"/>
      <c r="R171" s="1857"/>
      <c r="S171" s="1857"/>
      <c r="T171" s="1857"/>
      <c r="U171" s="1857"/>
      <c r="V171" s="1865"/>
      <c r="X171" s="1210" t="s">
        <v>388</v>
      </c>
      <c r="Y171" s="1221" t="str">
        <f>IF(OR(Y168&gt;0,Y169&gt;0,Y170&gt;0),1,"")</f>
        <v/>
      </c>
      <c r="Z171" s="1222" t="str">
        <f>IF(OR(Z168&gt;0,Z169&gt;0,Z170&gt;0),1,"")</f>
        <v/>
      </c>
      <c r="AA171" s="1222" t="str">
        <f t="shared" ref="AA171:AH171" si="85">IF(OR(AA168&gt;0,AA169&gt;0,AA170&gt;0),1,"")</f>
        <v/>
      </c>
      <c r="AB171" s="1222" t="str">
        <f t="shared" si="85"/>
        <v/>
      </c>
      <c r="AC171" s="1222" t="str">
        <f t="shared" si="85"/>
        <v/>
      </c>
      <c r="AD171" s="1222" t="str">
        <f t="shared" si="85"/>
        <v/>
      </c>
      <c r="AE171" s="1222" t="str">
        <f t="shared" si="85"/>
        <v/>
      </c>
      <c r="AF171" s="1222" t="str">
        <f t="shared" si="85"/>
        <v/>
      </c>
      <c r="AG171" s="1222" t="str">
        <f t="shared" si="85"/>
        <v/>
      </c>
      <c r="AH171" s="1222" t="str">
        <f t="shared" si="85"/>
        <v/>
      </c>
      <c r="AI171" s="1859"/>
      <c r="AJ171" s="1861"/>
      <c r="AK171" s="1861"/>
      <c r="AL171" s="1863"/>
      <c r="AM171" s="1855"/>
      <c r="AN171" s="1857"/>
      <c r="AO171" s="1857"/>
      <c r="AP171" s="1857"/>
      <c r="AQ171" s="1857"/>
      <c r="AR171" s="1865"/>
      <c r="AT171" s="1210" t="s">
        <v>388</v>
      </c>
      <c r="AU171" s="1221" t="str">
        <f>IF(OR(AU168&gt;0,AU169&gt;0,AU170&gt;0),1,"")</f>
        <v/>
      </c>
      <c r="AV171" s="1222" t="str">
        <f>IF(OR(AV168&gt;0,AV169&gt;0,AV170&gt;0),1,"")</f>
        <v/>
      </c>
      <c r="AW171" s="1222" t="str">
        <f t="shared" ref="AW171:BD171" si="86">IF(OR(AW168&gt;0,AW169&gt;0,AW170&gt;0),1,"")</f>
        <v/>
      </c>
      <c r="AX171" s="1222" t="str">
        <f t="shared" si="86"/>
        <v/>
      </c>
      <c r="AY171" s="1222" t="str">
        <f t="shared" si="86"/>
        <v/>
      </c>
      <c r="AZ171" s="1222" t="str">
        <f t="shared" si="86"/>
        <v/>
      </c>
      <c r="BA171" s="1222" t="str">
        <f t="shared" si="86"/>
        <v/>
      </c>
      <c r="BB171" s="1222" t="str">
        <f t="shared" si="86"/>
        <v/>
      </c>
      <c r="BC171" s="1222" t="str">
        <f t="shared" si="86"/>
        <v/>
      </c>
      <c r="BD171" s="1222" t="str">
        <f t="shared" si="86"/>
        <v/>
      </c>
      <c r="BE171" s="1859"/>
      <c r="BF171" s="1861"/>
      <c r="BG171" s="1861"/>
      <c r="BH171" s="1863"/>
      <c r="BI171" s="1855"/>
      <c r="BJ171" s="1857"/>
      <c r="BK171" s="1857"/>
      <c r="BL171" s="1857"/>
      <c r="BM171" s="1857"/>
      <c r="BN171" s="1865"/>
    </row>
    <row r="172" spans="2:66" ht="15" customHeight="1" thickTop="1">
      <c r="B172" s="1194" t="s">
        <v>387</v>
      </c>
      <c r="C172" s="1195"/>
      <c r="D172" s="1196"/>
      <c r="E172" s="1196"/>
      <c r="F172" s="1196"/>
      <c r="G172" s="1196"/>
      <c r="H172" s="1196"/>
      <c r="I172" s="1196"/>
      <c r="J172" s="1196"/>
      <c r="K172" s="1196"/>
      <c r="L172" s="1197"/>
      <c r="M172" s="1842">
        <f>SUM(C172:L172)</f>
        <v>0</v>
      </c>
      <c r="N172" s="1845">
        <f>SUM(C173:L173)</f>
        <v>0</v>
      </c>
      <c r="O172" s="1845">
        <f>SUM(C174:L174)</f>
        <v>0</v>
      </c>
      <c r="P172" s="1848">
        <f>SUM(C175:L175)</f>
        <v>0</v>
      </c>
      <c r="Q172" s="1851">
        <f>IF(G149="","",SUM(N172:P176))</f>
        <v>0</v>
      </c>
      <c r="R172" s="1839"/>
      <c r="S172" s="1839"/>
      <c r="T172" s="1839"/>
      <c r="U172" s="1839"/>
      <c r="V172" s="1836" t="s">
        <v>395</v>
      </c>
      <c r="X172" s="1194" t="s">
        <v>387</v>
      </c>
      <c r="Y172" s="1195"/>
      <c r="Z172" s="1196"/>
      <c r="AA172" s="1196"/>
      <c r="AB172" s="1196"/>
      <c r="AC172" s="1196"/>
      <c r="AD172" s="1196"/>
      <c r="AE172" s="1196"/>
      <c r="AF172" s="1196"/>
      <c r="AG172" s="1196"/>
      <c r="AH172" s="1197"/>
      <c r="AI172" s="1842">
        <f>SUM(Y172:AH172)</f>
        <v>0</v>
      </c>
      <c r="AJ172" s="1845">
        <f>SUM(Y173:AH173)</f>
        <v>0</v>
      </c>
      <c r="AK172" s="1845">
        <f>SUM(Y174:AH174)</f>
        <v>0</v>
      </c>
      <c r="AL172" s="1848">
        <f>SUM(Y175:AH175)</f>
        <v>0</v>
      </c>
      <c r="AM172" s="1851">
        <f>IF(AC149="","",SUM(AJ172:AL176))</f>
        <v>0</v>
      </c>
      <c r="AN172" s="1839"/>
      <c r="AO172" s="1839"/>
      <c r="AP172" s="1839"/>
      <c r="AQ172" s="1839"/>
      <c r="AR172" s="1836" t="s">
        <v>395</v>
      </c>
      <c r="AT172" s="1194" t="s">
        <v>387</v>
      </c>
      <c r="AU172" s="1195"/>
      <c r="AV172" s="1196"/>
      <c r="AW172" s="1196"/>
      <c r="AX172" s="1196"/>
      <c r="AY172" s="1196"/>
      <c r="AZ172" s="1196"/>
      <c r="BA172" s="1196"/>
      <c r="BB172" s="1196"/>
      <c r="BC172" s="1196"/>
      <c r="BD172" s="1197"/>
      <c r="BE172" s="1842">
        <f>SUM(AU172:BD172)</f>
        <v>0</v>
      </c>
      <c r="BF172" s="1845">
        <f>SUM(AU173:BD173)</f>
        <v>0</v>
      </c>
      <c r="BG172" s="1845">
        <f>SUM(AU174:BD174)</f>
        <v>0</v>
      </c>
      <c r="BH172" s="1848">
        <f>SUM(AU175:BD175)</f>
        <v>0</v>
      </c>
      <c r="BI172" s="1851" t="str">
        <f>IF(AY149="","",SUM(BF172:BH176))</f>
        <v/>
      </c>
      <c r="BJ172" s="1839"/>
      <c r="BK172" s="1839"/>
      <c r="BL172" s="1839"/>
      <c r="BM172" s="1839"/>
      <c r="BN172" s="1836" t="s">
        <v>395</v>
      </c>
    </row>
    <row r="173" spans="2:66" ht="13.5">
      <c r="B173" s="1198" t="s">
        <v>383</v>
      </c>
      <c r="C173" s="1199"/>
      <c r="D173" s="1200"/>
      <c r="E173" s="1200"/>
      <c r="F173" s="1200"/>
      <c r="G173" s="1200"/>
      <c r="H173" s="1200"/>
      <c r="I173" s="1200"/>
      <c r="J173" s="1200"/>
      <c r="K173" s="1200"/>
      <c r="L173" s="1201"/>
      <c r="M173" s="1843"/>
      <c r="N173" s="1846"/>
      <c r="O173" s="1846"/>
      <c r="P173" s="1849"/>
      <c r="Q173" s="1852"/>
      <c r="R173" s="1840"/>
      <c r="S173" s="1840"/>
      <c r="T173" s="1840"/>
      <c r="U173" s="1840"/>
      <c r="V173" s="1837"/>
      <c r="X173" s="1198" t="s">
        <v>383</v>
      </c>
      <c r="Y173" s="1199"/>
      <c r="Z173" s="1200"/>
      <c r="AA173" s="1200"/>
      <c r="AB173" s="1200"/>
      <c r="AC173" s="1200"/>
      <c r="AD173" s="1200"/>
      <c r="AE173" s="1200"/>
      <c r="AF173" s="1200"/>
      <c r="AG173" s="1200"/>
      <c r="AH173" s="1201"/>
      <c r="AI173" s="1843"/>
      <c r="AJ173" s="1846"/>
      <c r="AK173" s="1846"/>
      <c r="AL173" s="1849"/>
      <c r="AM173" s="1852"/>
      <c r="AN173" s="1840"/>
      <c r="AO173" s="1840"/>
      <c r="AP173" s="1840"/>
      <c r="AQ173" s="1840"/>
      <c r="AR173" s="1837"/>
      <c r="AT173" s="1198" t="s">
        <v>383</v>
      </c>
      <c r="AU173" s="1199"/>
      <c r="AV173" s="1200"/>
      <c r="AW173" s="1200"/>
      <c r="AX173" s="1200"/>
      <c r="AY173" s="1200"/>
      <c r="AZ173" s="1200"/>
      <c r="BA173" s="1200"/>
      <c r="BB173" s="1200"/>
      <c r="BC173" s="1200"/>
      <c r="BD173" s="1201"/>
      <c r="BE173" s="1843"/>
      <c r="BF173" s="1846"/>
      <c r="BG173" s="1846"/>
      <c r="BH173" s="1849"/>
      <c r="BI173" s="1852"/>
      <c r="BJ173" s="1840"/>
      <c r="BK173" s="1840"/>
      <c r="BL173" s="1840"/>
      <c r="BM173" s="1840"/>
      <c r="BN173" s="1837"/>
    </row>
    <row r="174" spans="2:66" ht="13.5">
      <c r="B174" s="1202" t="s">
        <v>384</v>
      </c>
      <c r="C174" s="1203"/>
      <c r="D174" s="1204"/>
      <c r="E174" s="1204"/>
      <c r="F174" s="1204"/>
      <c r="G174" s="1204"/>
      <c r="H174" s="1204"/>
      <c r="I174" s="1204"/>
      <c r="J174" s="1204"/>
      <c r="K174" s="1204"/>
      <c r="L174" s="1205"/>
      <c r="M174" s="1843"/>
      <c r="N174" s="1846"/>
      <c r="O174" s="1846"/>
      <c r="P174" s="1849"/>
      <c r="Q174" s="1852"/>
      <c r="R174" s="1840"/>
      <c r="S174" s="1840"/>
      <c r="T174" s="1840"/>
      <c r="U174" s="1840"/>
      <c r="V174" s="1837"/>
      <c r="X174" s="1202" t="s">
        <v>384</v>
      </c>
      <c r="Y174" s="1203"/>
      <c r="Z174" s="1204"/>
      <c r="AA174" s="1204"/>
      <c r="AB174" s="1204"/>
      <c r="AC174" s="1204"/>
      <c r="AD174" s="1204"/>
      <c r="AE174" s="1204"/>
      <c r="AF174" s="1204"/>
      <c r="AG174" s="1204"/>
      <c r="AH174" s="1205"/>
      <c r="AI174" s="1843"/>
      <c r="AJ174" s="1846"/>
      <c r="AK174" s="1846"/>
      <c r="AL174" s="1849"/>
      <c r="AM174" s="1852"/>
      <c r="AN174" s="1840"/>
      <c r="AO174" s="1840"/>
      <c r="AP174" s="1840"/>
      <c r="AQ174" s="1840"/>
      <c r="AR174" s="1837"/>
      <c r="AT174" s="1202" t="s">
        <v>384</v>
      </c>
      <c r="AU174" s="1203"/>
      <c r="AV174" s="1204"/>
      <c r="AW174" s="1204"/>
      <c r="AX174" s="1204"/>
      <c r="AY174" s="1204"/>
      <c r="AZ174" s="1204"/>
      <c r="BA174" s="1204"/>
      <c r="BB174" s="1204"/>
      <c r="BC174" s="1204"/>
      <c r="BD174" s="1205"/>
      <c r="BE174" s="1843"/>
      <c r="BF174" s="1846"/>
      <c r="BG174" s="1846"/>
      <c r="BH174" s="1849"/>
      <c r="BI174" s="1852"/>
      <c r="BJ174" s="1840"/>
      <c r="BK174" s="1840"/>
      <c r="BL174" s="1840"/>
      <c r="BM174" s="1840"/>
      <c r="BN174" s="1837"/>
    </row>
    <row r="175" spans="2:66" ht="13.5">
      <c r="B175" s="1206" t="s">
        <v>385</v>
      </c>
      <c r="C175" s="1207"/>
      <c r="D175" s="1208"/>
      <c r="E175" s="1208"/>
      <c r="F175" s="1208"/>
      <c r="G175" s="1208"/>
      <c r="H175" s="1208"/>
      <c r="I175" s="1208"/>
      <c r="J175" s="1208"/>
      <c r="K175" s="1208"/>
      <c r="L175" s="1209"/>
      <c r="M175" s="1843"/>
      <c r="N175" s="1846"/>
      <c r="O175" s="1846"/>
      <c r="P175" s="1849"/>
      <c r="Q175" s="1852"/>
      <c r="R175" s="1840"/>
      <c r="S175" s="1840"/>
      <c r="T175" s="1840"/>
      <c r="U175" s="1840"/>
      <c r="V175" s="1837"/>
      <c r="X175" s="1206" t="s">
        <v>385</v>
      </c>
      <c r="Y175" s="1207"/>
      <c r="Z175" s="1208"/>
      <c r="AA175" s="1208"/>
      <c r="AB175" s="1208"/>
      <c r="AC175" s="1208"/>
      <c r="AD175" s="1208"/>
      <c r="AE175" s="1208"/>
      <c r="AF175" s="1208"/>
      <c r="AG175" s="1208"/>
      <c r="AH175" s="1209"/>
      <c r="AI175" s="1843"/>
      <c r="AJ175" s="1846"/>
      <c r="AK175" s="1846"/>
      <c r="AL175" s="1849"/>
      <c r="AM175" s="1852"/>
      <c r="AN175" s="1840"/>
      <c r="AO175" s="1840"/>
      <c r="AP175" s="1840"/>
      <c r="AQ175" s="1840"/>
      <c r="AR175" s="1837"/>
      <c r="AT175" s="1206" t="s">
        <v>385</v>
      </c>
      <c r="AU175" s="1207"/>
      <c r="AV175" s="1208"/>
      <c r="AW175" s="1208"/>
      <c r="AX175" s="1208"/>
      <c r="AY175" s="1208"/>
      <c r="AZ175" s="1208"/>
      <c r="BA175" s="1208"/>
      <c r="BB175" s="1208"/>
      <c r="BC175" s="1208"/>
      <c r="BD175" s="1209"/>
      <c r="BE175" s="1843"/>
      <c r="BF175" s="1846"/>
      <c r="BG175" s="1846"/>
      <c r="BH175" s="1849"/>
      <c r="BI175" s="1852"/>
      <c r="BJ175" s="1840"/>
      <c r="BK175" s="1840"/>
      <c r="BL175" s="1840"/>
      <c r="BM175" s="1840"/>
      <c r="BN175" s="1837"/>
    </row>
    <row r="176" spans="2:66" ht="13.5">
      <c r="B176" s="1215" t="s">
        <v>388</v>
      </c>
      <c r="C176" s="1223" t="str">
        <f>IF(OR(C173&gt;0,C174&gt;0,C175&gt;0),1,"")</f>
        <v/>
      </c>
      <c r="D176" s="1224" t="str">
        <f>IF(OR(D173&gt;0,D174&gt;0,D175&gt;0),1,"")</f>
        <v/>
      </c>
      <c r="E176" s="1224" t="str">
        <f t="shared" ref="E176:L176" si="87">IF(OR(E173&gt;0,E174&gt;0,E175&gt;0),1,"")</f>
        <v/>
      </c>
      <c r="F176" s="1224" t="str">
        <f t="shared" si="87"/>
        <v/>
      </c>
      <c r="G176" s="1224" t="str">
        <f t="shared" si="87"/>
        <v/>
      </c>
      <c r="H176" s="1224" t="str">
        <f t="shared" si="87"/>
        <v/>
      </c>
      <c r="I176" s="1224" t="str">
        <f t="shared" si="87"/>
        <v/>
      </c>
      <c r="J176" s="1224" t="str">
        <f t="shared" si="87"/>
        <v/>
      </c>
      <c r="K176" s="1224" t="str">
        <f t="shared" si="87"/>
        <v/>
      </c>
      <c r="L176" s="1225" t="str">
        <f t="shared" si="87"/>
        <v/>
      </c>
      <c r="M176" s="1844"/>
      <c r="N176" s="1847"/>
      <c r="O176" s="1847"/>
      <c r="P176" s="1850"/>
      <c r="Q176" s="1853"/>
      <c r="R176" s="1841"/>
      <c r="S176" s="1841"/>
      <c r="T176" s="1841"/>
      <c r="U176" s="1841"/>
      <c r="V176" s="1838"/>
      <c r="X176" s="1215" t="s">
        <v>388</v>
      </c>
      <c r="Y176" s="1223" t="str">
        <f>IF(OR(Y173&gt;0,Y174&gt;0,Y175&gt;0),1,"")</f>
        <v/>
      </c>
      <c r="Z176" s="1224" t="str">
        <f>IF(OR(Z173&gt;0,Z174&gt;0,Z175&gt;0),1,"")</f>
        <v/>
      </c>
      <c r="AA176" s="1224" t="str">
        <f t="shared" ref="AA176:AH176" si="88">IF(OR(AA173&gt;0,AA174&gt;0,AA175&gt;0),1,"")</f>
        <v/>
      </c>
      <c r="AB176" s="1224" t="str">
        <f t="shared" si="88"/>
        <v/>
      </c>
      <c r="AC176" s="1224" t="str">
        <f t="shared" si="88"/>
        <v/>
      </c>
      <c r="AD176" s="1224" t="str">
        <f t="shared" si="88"/>
        <v/>
      </c>
      <c r="AE176" s="1224" t="str">
        <f t="shared" si="88"/>
        <v/>
      </c>
      <c r="AF176" s="1224" t="str">
        <f t="shared" si="88"/>
        <v/>
      </c>
      <c r="AG176" s="1224" t="str">
        <f t="shared" si="88"/>
        <v/>
      </c>
      <c r="AH176" s="1225" t="str">
        <f t="shared" si="88"/>
        <v/>
      </c>
      <c r="AI176" s="1844"/>
      <c r="AJ176" s="1847"/>
      <c r="AK176" s="1847"/>
      <c r="AL176" s="1850"/>
      <c r="AM176" s="1853"/>
      <c r="AN176" s="1841"/>
      <c r="AO176" s="1841"/>
      <c r="AP176" s="1841"/>
      <c r="AQ176" s="1841"/>
      <c r="AR176" s="1838"/>
      <c r="AT176" s="1215" t="s">
        <v>388</v>
      </c>
      <c r="AU176" s="1223" t="str">
        <f>IF(OR(AU173&gt;0,AU174&gt;0,AU175&gt;0),1,"")</f>
        <v/>
      </c>
      <c r="AV176" s="1224" t="str">
        <f>IF(OR(AV173&gt;0,AV174&gt;0,AV175&gt;0),1,"")</f>
        <v/>
      </c>
      <c r="AW176" s="1224" t="str">
        <f t="shared" ref="AW176:BD176" si="89">IF(OR(AW173&gt;0,AW174&gt;0,AW175&gt;0),1,"")</f>
        <v/>
      </c>
      <c r="AX176" s="1224" t="str">
        <f t="shared" si="89"/>
        <v/>
      </c>
      <c r="AY176" s="1224" t="str">
        <f t="shared" si="89"/>
        <v/>
      </c>
      <c r="AZ176" s="1224" t="str">
        <f t="shared" si="89"/>
        <v/>
      </c>
      <c r="BA176" s="1224" t="str">
        <f t="shared" si="89"/>
        <v/>
      </c>
      <c r="BB176" s="1224" t="str">
        <f t="shared" si="89"/>
        <v/>
      </c>
      <c r="BC176" s="1224" t="str">
        <f t="shared" si="89"/>
        <v/>
      </c>
      <c r="BD176" s="1225" t="str">
        <f t="shared" si="89"/>
        <v/>
      </c>
      <c r="BE176" s="1844"/>
      <c r="BF176" s="1847"/>
      <c r="BG176" s="1847"/>
      <c r="BH176" s="1850"/>
      <c r="BI176" s="1853"/>
      <c r="BJ176" s="1841"/>
      <c r="BK176" s="1841"/>
      <c r="BL176" s="1841"/>
      <c r="BM176" s="1841"/>
      <c r="BN176" s="1838"/>
    </row>
    <row r="178" spans="2:66">
      <c r="B178" s="1175"/>
      <c r="C178" s="1176" t="s">
        <v>400</v>
      </c>
      <c r="D178" s="1217" t="s">
        <v>396</v>
      </c>
      <c r="E178" s="1177"/>
      <c r="F178" s="1177" t="s">
        <v>373</v>
      </c>
      <c r="G178" s="1178"/>
      <c r="H178" s="1167"/>
      <c r="I178" s="1167"/>
      <c r="J178" s="1179" t="s">
        <v>374</v>
      </c>
      <c r="K178" s="1165"/>
      <c r="L178" s="1165"/>
      <c r="M178" s="1165"/>
      <c r="N178" s="1165"/>
      <c r="O178" s="1165"/>
      <c r="P178" s="1165"/>
      <c r="Q178" s="1165"/>
      <c r="R178" s="1165"/>
      <c r="S178" s="1165"/>
      <c r="T178" s="1165"/>
      <c r="U178" s="1165"/>
      <c r="V178" s="1165"/>
      <c r="X178" s="1175"/>
      <c r="Y178" s="1176" t="s">
        <v>400</v>
      </c>
      <c r="Z178" s="1217" t="s">
        <v>412</v>
      </c>
      <c r="AA178" s="1177"/>
      <c r="AB178" s="1177" t="s">
        <v>373</v>
      </c>
      <c r="AC178" s="1178"/>
      <c r="AD178" s="1167"/>
      <c r="AE178" s="1167"/>
      <c r="AF178" s="1179" t="s">
        <v>374</v>
      </c>
      <c r="AG178" s="1165"/>
      <c r="AH178" s="1401"/>
      <c r="AI178" s="1165"/>
      <c r="AJ178" s="1165"/>
      <c r="AK178" s="1165"/>
      <c r="AL178" s="1165"/>
      <c r="AM178" s="1165"/>
      <c r="AN178" s="1165"/>
      <c r="AO178" s="1165"/>
      <c r="AP178" s="1165"/>
      <c r="AQ178" s="1165"/>
      <c r="AR178" s="1165"/>
      <c r="AT178" s="1175"/>
      <c r="AU178" s="1176" t="s">
        <v>400</v>
      </c>
      <c r="AV178" s="1217" t="s">
        <v>408</v>
      </c>
      <c r="AW178" s="1177"/>
      <c r="AX178" s="1177" t="s">
        <v>373</v>
      </c>
      <c r="AY178" s="1178"/>
      <c r="AZ178" s="1167"/>
      <c r="BA178" s="1167"/>
      <c r="BB178" s="1179" t="s">
        <v>374</v>
      </c>
      <c r="BC178" s="1165"/>
      <c r="BD178" s="1165"/>
      <c r="BE178" s="1165"/>
      <c r="BF178" s="1165"/>
      <c r="BG178" s="1165"/>
      <c r="BH178" s="1165"/>
      <c r="BI178" s="1165"/>
      <c r="BJ178" s="1165"/>
      <c r="BK178" s="1165"/>
      <c r="BL178" s="1165"/>
      <c r="BM178" s="1165"/>
      <c r="BN178" s="1165"/>
    </row>
    <row r="179" spans="2:66" ht="15.75" customHeight="1">
      <c r="B179" s="1180" t="s">
        <v>375</v>
      </c>
      <c r="C179" s="1181"/>
      <c r="D179" s="1220" t="e">
        <f>IF(J179="",#N/A,SUM(C185:L185,C190:L190,C195:L195,C200:L200,C205:L205))</f>
        <v>#N/A</v>
      </c>
      <c r="E179" s="1183" t="s">
        <v>376</v>
      </c>
      <c r="F179" s="1184" t="s">
        <v>377</v>
      </c>
      <c r="G179" s="1181"/>
      <c r="H179" s="1182" t="s">
        <v>378</v>
      </c>
      <c r="I179" s="1181"/>
      <c r="J179" s="1220" t="str">
        <f>IF(AND(Q181="",Q186="",Q191="",Q196="",Q201=""),"",SUM(Q181:Q204))</f>
        <v/>
      </c>
      <c r="K179" s="1183" t="s">
        <v>379</v>
      </c>
      <c r="L179" s="1185" t="s">
        <v>377</v>
      </c>
      <c r="M179" s="1866" t="s">
        <v>380</v>
      </c>
      <c r="N179" s="1867"/>
      <c r="O179" s="1867"/>
      <c r="P179" s="1867"/>
      <c r="Q179" s="1868"/>
      <c r="R179" s="1869" t="s">
        <v>389</v>
      </c>
      <c r="S179" s="1869" t="s">
        <v>390</v>
      </c>
      <c r="T179" s="1869" t="s">
        <v>391</v>
      </c>
      <c r="U179" s="1869" t="s">
        <v>392</v>
      </c>
      <c r="V179" s="1871" t="s">
        <v>393</v>
      </c>
      <c r="X179" s="1180" t="s">
        <v>375</v>
      </c>
      <c r="Y179" s="1181"/>
      <c r="Z179" s="1220" t="e">
        <f>IF(AF179="",#N/A,SUM(Y185:AH185,Y190:AH190,Y195:AH195,Y200:AH200,Y205:AH205))</f>
        <v>#N/A</v>
      </c>
      <c r="AA179" s="1183" t="s">
        <v>376</v>
      </c>
      <c r="AB179" s="1184" t="s">
        <v>377</v>
      </c>
      <c r="AC179" s="1181"/>
      <c r="AD179" s="1182" t="s">
        <v>378</v>
      </c>
      <c r="AE179" s="1181"/>
      <c r="AF179" s="1220" t="str">
        <f>IF(AND(AM181="",AM186="",AM191="",AM196="",AM201=""),"",SUM(AM181:AM204))</f>
        <v/>
      </c>
      <c r="AG179" s="1183" t="s">
        <v>379</v>
      </c>
      <c r="AH179" s="1185" t="s">
        <v>377</v>
      </c>
      <c r="AI179" s="1866" t="s">
        <v>380</v>
      </c>
      <c r="AJ179" s="1867"/>
      <c r="AK179" s="1867"/>
      <c r="AL179" s="1867"/>
      <c r="AM179" s="1868"/>
      <c r="AN179" s="1869" t="s">
        <v>389</v>
      </c>
      <c r="AO179" s="1869" t="s">
        <v>390</v>
      </c>
      <c r="AP179" s="1869" t="s">
        <v>391</v>
      </c>
      <c r="AQ179" s="1869" t="s">
        <v>392</v>
      </c>
      <c r="AR179" s="1871" t="s">
        <v>393</v>
      </c>
      <c r="AT179" s="1180" t="s">
        <v>375</v>
      </c>
      <c r="AU179" s="1181"/>
      <c r="AV179" s="1220" t="e">
        <f>IF(BB179="",#N/A,SUM(AU185:BD185,AU190:BD190,AU195:BD195,AU200:BD200,AU205:BD205))</f>
        <v>#N/A</v>
      </c>
      <c r="AW179" s="1183" t="s">
        <v>376</v>
      </c>
      <c r="AX179" s="1184" t="s">
        <v>377</v>
      </c>
      <c r="AY179" s="1181"/>
      <c r="AZ179" s="1182" t="s">
        <v>378</v>
      </c>
      <c r="BA179" s="1181"/>
      <c r="BB179" s="1220" t="str">
        <f>IF(AND(BI181="",BI186="",BI191="",BI196="",BI201=""),"",SUM(BI181:BI204))</f>
        <v/>
      </c>
      <c r="BC179" s="1183" t="s">
        <v>379</v>
      </c>
      <c r="BD179" s="1185" t="s">
        <v>377</v>
      </c>
      <c r="BE179" s="1866" t="s">
        <v>380</v>
      </c>
      <c r="BF179" s="1867"/>
      <c r="BG179" s="1867"/>
      <c r="BH179" s="1867"/>
      <c r="BI179" s="1868"/>
      <c r="BJ179" s="1869" t="s">
        <v>389</v>
      </c>
      <c r="BK179" s="1869" t="s">
        <v>390</v>
      </c>
      <c r="BL179" s="1869" t="s">
        <v>391</v>
      </c>
      <c r="BM179" s="1869" t="s">
        <v>392</v>
      </c>
      <c r="BN179" s="1871" t="s">
        <v>393</v>
      </c>
    </row>
    <row r="180" spans="2:66" ht="13.5">
      <c r="B180" s="1186" t="s">
        <v>381</v>
      </c>
      <c r="C180" s="1187">
        <v>1</v>
      </c>
      <c r="D180" s="1218">
        <v>2</v>
      </c>
      <c r="E180" s="1188">
        <v>3</v>
      </c>
      <c r="F180" s="1188">
        <v>4</v>
      </c>
      <c r="G180" s="1188">
        <v>5</v>
      </c>
      <c r="H180" s="1188">
        <v>6</v>
      </c>
      <c r="I180" s="1218">
        <v>7</v>
      </c>
      <c r="J180" s="1218">
        <v>8</v>
      </c>
      <c r="K180" s="1218">
        <v>9</v>
      </c>
      <c r="L180" s="1219">
        <v>10</v>
      </c>
      <c r="M180" s="1189" t="s">
        <v>382</v>
      </c>
      <c r="N180" s="1190" t="s">
        <v>383</v>
      </c>
      <c r="O180" s="1191" t="s">
        <v>384</v>
      </c>
      <c r="P180" s="1192" t="s">
        <v>385</v>
      </c>
      <c r="Q180" s="1193" t="s">
        <v>386</v>
      </c>
      <c r="R180" s="1870"/>
      <c r="S180" s="1870"/>
      <c r="T180" s="1870"/>
      <c r="U180" s="1870"/>
      <c r="V180" s="1872"/>
      <c r="X180" s="1186" t="s">
        <v>381</v>
      </c>
      <c r="Y180" s="1187">
        <v>1</v>
      </c>
      <c r="Z180" s="1218">
        <v>2</v>
      </c>
      <c r="AA180" s="1188">
        <v>3</v>
      </c>
      <c r="AB180" s="1188">
        <v>4</v>
      </c>
      <c r="AC180" s="1188">
        <v>5</v>
      </c>
      <c r="AD180" s="1188">
        <v>6</v>
      </c>
      <c r="AE180" s="1218">
        <v>7</v>
      </c>
      <c r="AF180" s="1218">
        <v>8</v>
      </c>
      <c r="AG180" s="1218">
        <v>9</v>
      </c>
      <c r="AH180" s="1219">
        <v>10</v>
      </c>
      <c r="AI180" s="1189" t="s">
        <v>382</v>
      </c>
      <c r="AJ180" s="1190" t="s">
        <v>383</v>
      </c>
      <c r="AK180" s="1191" t="s">
        <v>384</v>
      </c>
      <c r="AL180" s="1192" t="s">
        <v>385</v>
      </c>
      <c r="AM180" s="1193" t="s">
        <v>386</v>
      </c>
      <c r="AN180" s="1870"/>
      <c r="AO180" s="1870"/>
      <c r="AP180" s="1870"/>
      <c r="AQ180" s="1870"/>
      <c r="AR180" s="1872"/>
      <c r="AT180" s="1186" t="s">
        <v>381</v>
      </c>
      <c r="AU180" s="1187">
        <v>1</v>
      </c>
      <c r="AV180" s="1218">
        <v>2</v>
      </c>
      <c r="AW180" s="1188">
        <v>3</v>
      </c>
      <c r="AX180" s="1188">
        <v>4</v>
      </c>
      <c r="AY180" s="1188">
        <v>5</v>
      </c>
      <c r="AZ180" s="1188">
        <v>6</v>
      </c>
      <c r="BA180" s="1218">
        <v>7</v>
      </c>
      <c r="BB180" s="1218">
        <v>8</v>
      </c>
      <c r="BC180" s="1218">
        <v>9</v>
      </c>
      <c r="BD180" s="1219">
        <v>10</v>
      </c>
      <c r="BE180" s="1189" t="s">
        <v>382</v>
      </c>
      <c r="BF180" s="1190" t="s">
        <v>383</v>
      </c>
      <c r="BG180" s="1191" t="s">
        <v>384</v>
      </c>
      <c r="BH180" s="1192" t="s">
        <v>385</v>
      </c>
      <c r="BI180" s="1193" t="s">
        <v>386</v>
      </c>
      <c r="BJ180" s="1870"/>
      <c r="BK180" s="1870"/>
      <c r="BL180" s="1870"/>
      <c r="BM180" s="1870"/>
      <c r="BN180" s="1872"/>
    </row>
    <row r="181" spans="2:66" ht="14.25" customHeight="1">
      <c r="B181" s="1194" t="s">
        <v>387</v>
      </c>
      <c r="C181" s="1195"/>
      <c r="D181" s="1196"/>
      <c r="E181" s="1196"/>
      <c r="F181" s="1196"/>
      <c r="G181" s="1196"/>
      <c r="H181" s="1196"/>
      <c r="I181" s="1196"/>
      <c r="J181" s="1196"/>
      <c r="K181" s="1196"/>
      <c r="L181" s="1197"/>
      <c r="M181" s="1858">
        <f>SUM(C181:L181)</f>
        <v>0</v>
      </c>
      <c r="N181" s="1860">
        <f>SUM(C182:L182)</f>
        <v>0</v>
      </c>
      <c r="O181" s="1860">
        <f>SUM(C183:L183)</f>
        <v>0</v>
      </c>
      <c r="P181" s="1862">
        <f>SUM(C184:L184)</f>
        <v>0</v>
      </c>
      <c r="Q181" s="1854" t="str">
        <f>IF(G178="","",SUM(N181:P185))</f>
        <v/>
      </c>
      <c r="R181" s="1856"/>
      <c r="S181" s="1856"/>
      <c r="T181" s="1856"/>
      <c r="U181" s="1856"/>
      <c r="V181" s="1864" t="s">
        <v>394</v>
      </c>
      <c r="X181" s="1194" t="s">
        <v>387</v>
      </c>
      <c r="Y181" s="1195"/>
      <c r="Z181" s="1196"/>
      <c r="AA181" s="1196"/>
      <c r="AB181" s="1196"/>
      <c r="AC181" s="1196"/>
      <c r="AD181" s="1196"/>
      <c r="AE181" s="1196"/>
      <c r="AF181" s="1196"/>
      <c r="AG181" s="1196"/>
      <c r="AH181" s="1197"/>
      <c r="AI181" s="1858">
        <f>SUM(Y181:AH181)</f>
        <v>0</v>
      </c>
      <c r="AJ181" s="1860">
        <f>SUM(Y182:AH182)</f>
        <v>0</v>
      </c>
      <c r="AK181" s="1860">
        <f>SUM(Y183:AH183)</f>
        <v>0</v>
      </c>
      <c r="AL181" s="1862">
        <f>SUM(Y184:AH184)</f>
        <v>0</v>
      </c>
      <c r="AM181" s="1854" t="str">
        <f>IF(AC178="","",SUM(AJ181:AL185))</f>
        <v/>
      </c>
      <c r="AN181" s="1856"/>
      <c r="AO181" s="1856"/>
      <c r="AP181" s="1856"/>
      <c r="AQ181" s="1856"/>
      <c r="AR181" s="1864" t="s">
        <v>394</v>
      </c>
      <c r="AT181" s="1194" t="s">
        <v>387</v>
      </c>
      <c r="AU181" s="1195"/>
      <c r="AV181" s="1196"/>
      <c r="AW181" s="1196"/>
      <c r="AX181" s="1196"/>
      <c r="AY181" s="1196"/>
      <c r="AZ181" s="1196"/>
      <c r="BA181" s="1196"/>
      <c r="BB181" s="1196"/>
      <c r="BC181" s="1196"/>
      <c r="BD181" s="1197"/>
      <c r="BE181" s="1858">
        <f>SUM(AU181:BD181)</f>
        <v>0</v>
      </c>
      <c r="BF181" s="1860">
        <f>SUM(AU182:BD182)</f>
        <v>0</v>
      </c>
      <c r="BG181" s="1860">
        <f>SUM(AU183:BD183)</f>
        <v>0</v>
      </c>
      <c r="BH181" s="1862">
        <f>SUM(AU184:BD184)</f>
        <v>0</v>
      </c>
      <c r="BI181" s="1854" t="str">
        <f>IF(AY178="","",SUM(BF181:BH185))</f>
        <v/>
      </c>
      <c r="BJ181" s="1856"/>
      <c r="BK181" s="1856"/>
      <c r="BL181" s="1856"/>
      <c r="BM181" s="1856"/>
      <c r="BN181" s="1864" t="s">
        <v>394</v>
      </c>
    </row>
    <row r="182" spans="2:66" ht="13.5">
      <c r="B182" s="1198" t="s">
        <v>383</v>
      </c>
      <c r="C182" s="1199"/>
      <c r="D182" s="1200"/>
      <c r="E182" s="1200"/>
      <c r="F182" s="1200"/>
      <c r="G182" s="1200"/>
      <c r="H182" s="1200"/>
      <c r="I182" s="1200"/>
      <c r="J182" s="1200"/>
      <c r="K182" s="1200"/>
      <c r="L182" s="1201"/>
      <c r="M182" s="1843"/>
      <c r="N182" s="1846"/>
      <c r="O182" s="1846"/>
      <c r="P182" s="1849"/>
      <c r="Q182" s="1852"/>
      <c r="R182" s="1840"/>
      <c r="S182" s="1840"/>
      <c r="T182" s="1840"/>
      <c r="U182" s="1840"/>
      <c r="V182" s="1837"/>
      <c r="X182" s="1198" t="s">
        <v>383</v>
      </c>
      <c r="Y182" s="1199"/>
      <c r="Z182" s="1200"/>
      <c r="AA182" s="1200"/>
      <c r="AB182" s="1200"/>
      <c r="AC182" s="1200"/>
      <c r="AD182" s="1200"/>
      <c r="AE182" s="1200"/>
      <c r="AF182" s="1200"/>
      <c r="AG182" s="1200"/>
      <c r="AH182" s="1201"/>
      <c r="AI182" s="1843"/>
      <c r="AJ182" s="1846"/>
      <c r="AK182" s="1846"/>
      <c r="AL182" s="1849"/>
      <c r="AM182" s="1852"/>
      <c r="AN182" s="1840"/>
      <c r="AO182" s="1840"/>
      <c r="AP182" s="1840"/>
      <c r="AQ182" s="1840"/>
      <c r="AR182" s="1837"/>
      <c r="AT182" s="1198" t="s">
        <v>383</v>
      </c>
      <c r="AU182" s="1199"/>
      <c r="AV182" s="1200"/>
      <c r="AW182" s="1200"/>
      <c r="AX182" s="1200"/>
      <c r="AY182" s="1200"/>
      <c r="AZ182" s="1200"/>
      <c r="BA182" s="1200"/>
      <c r="BB182" s="1200"/>
      <c r="BC182" s="1200"/>
      <c r="BD182" s="1201"/>
      <c r="BE182" s="1843"/>
      <c r="BF182" s="1846"/>
      <c r="BG182" s="1846"/>
      <c r="BH182" s="1849"/>
      <c r="BI182" s="1852"/>
      <c r="BJ182" s="1840"/>
      <c r="BK182" s="1840"/>
      <c r="BL182" s="1840"/>
      <c r="BM182" s="1840"/>
      <c r="BN182" s="1837"/>
    </row>
    <row r="183" spans="2:66" ht="13.5">
      <c r="B183" s="1202" t="s">
        <v>384</v>
      </c>
      <c r="C183" s="1203"/>
      <c r="D183" s="1204"/>
      <c r="E183" s="1204"/>
      <c r="F183" s="1204"/>
      <c r="G183" s="1204"/>
      <c r="H183" s="1204"/>
      <c r="I183" s="1204"/>
      <c r="J183" s="1204"/>
      <c r="K183" s="1204"/>
      <c r="L183" s="1205"/>
      <c r="M183" s="1843"/>
      <c r="N183" s="1846"/>
      <c r="O183" s="1846"/>
      <c r="P183" s="1849"/>
      <c r="Q183" s="1852"/>
      <c r="R183" s="1840"/>
      <c r="S183" s="1840"/>
      <c r="T183" s="1840"/>
      <c r="U183" s="1840"/>
      <c r="V183" s="1837"/>
      <c r="X183" s="1202" t="s">
        <v>384</v>
      </c>
      <c r="Y183" s="1203"/>
      <c r="Z183" s="1204"/>
      <c r="AA183" s="1204"/>
      <c r="AB183" s="1204"/>
      <c r="AC183" s="1204"/>
      <c r="AD183" s="1204"/>
      <c r="AE183" s="1204"/>
      <c r="AF183" s="1204"/>
      <c r="AG183" s="1204"/>
      <c r="AH183" s="1205"/>
      <c r="AI183" s="1843"/>
      <c r="AJ183" s="1846"/>
      <c r="AK183" s="1846"/>
      <c r="AL183" s="1849"/>
      <c r="AM183" s="1852"/>
      <c r="AN183" s="1840"/>
      <c r="AO183" s="1840"/>
      <c r="AP183" s="1840"/>
      <c r="AQ183" s="1840"/>
      <c r="AR183" s="1837"/>
      <c r="AT183" s="1202" t="s">
        <v>384</v>
      </c>
      <c r="AU183" s="1203"/>
      <c r="AV183" s="1204"/>
      <c r="AW183" s="1204"/>
      <c r="AX183" s="1204"/>
      <c r="AY183" s="1204"/>
      <c r="AZ183" s="1204"/>
      <c r="BA183" s="1204"/>
      <c r="BB183" s="1204"/>
      <c r="BC183" s="1204"/>
      <c r="BD183" s="1205"/>
      <c r="BE183" s="1843"/>
      <c r="BF183" s="1846"/>
      <c r="BG183" s="1846"/>
      <c r="BH183" s="1849"/>
      <c r="BI183" s="1852"/>
      <c r="BJ183" s="1840"/>
      <c r="BK183" s="1840"/>
      <c r="BL183" s="1840"/>
      <c r="BM183" s="1840"/>
      <c r="BN183" s="1837"/>
    </row>
    <row r="184" spans="2:66" ht="13.5">
      <c r="B184" s="1206" t="s">
        <v>385</v>
      </c>
      <c r="C184" s="1207"/>
      <c r="D184" s="1208"/>
      <c r="E184" s="1208"/>
      <c r="F184" s="1208"/>
      <c r="G184" s="1208"/>
      <c r="H184" s="1208"/>
      <c r="I184" s="1208"/>
      <c r="J184" s="1208"/>
      <c r="K184" s="1208"/>
      <c r="L184" s="1209"/>
      <c r="M184" s="1843"/>
      <c r="N184" s="1846"/>
      <c r="O184" s="1846"/>
      <c r="P184" s="1849"/>
      <c r="Q184" s="1852"/>
      <c r="R184" s="1840"/>
      <c r="S184" s="1840"/>
      <c r="T184" s="1840"/>
      <c r="U184" s="1840"/>
      <c r="V184" s="1837"/>
      <c r="X184" s="1206" t="s">
        <v>385</v>
      </c>
      <c r="Y184" s="1207"/>
      <c r="Z184" s="1208"/>
      <c r="AA184" s="1208"/>
      <c r="AB184" s="1208"/>
      <c r="AC184" s="1208"/>
      <c r="AD184" s="1208"/>
      <c r="AE184" s="1208"/>
      <c r="AF184" s="1208"/>
      <c r="AG184" s="1208"/>
      <c r="AH184" s="1209"/>
      <c r="AI184" s="1843"/>
      <c r="AJ184" s="1846"/>
      <c r="AK184" s="1846"/>
      <c r="AL184" s="1849"/>
      <c r="AM184" s="1852"/>
      <c r="AN184" s="1840"/>
      <c r="AO184" s="1840"/>
      <c r="AP184" s="1840"/>
      <c r="AQ184" s="1840"/>
      <c r="AR184" s="1837"/>
      <c r="AT184" s="1206" t="s">
        <v>385</v>
      </c>
      <c r="AU184" s="1207"/>
      <c r="AV184" s="1208"/>
      <c r="AW184" s="1208"/>
      <c r="AX184" s="1208"/>
      <c r="AY184" s="1208"/>
      <c r="AZ184" s="1208"/>
      <c r="BA184" s="1208"/>
      <c r="BB184" s="1208"/>
      <c r="BC184" s="1208"/>
      <c r="BD184" s="1209"/>
      <c r="BE184" s="1843"/>
      <c r="BF184" s="1846"/>
      <c r="BG184" s="1846"/>
      <c r="BH184" s="1849"/>
      <c r="BI184" s="1852"/>
      <c r="BJ184" s="1840"/>
      <c r="BK184" s="1840"/>
      <c r="BL184" s="1840"/>
      <c r="BM184" s="1840"/>
      <c r="BN184" s="1837"/>
    </row>
    <row r="185" spans="2:66" ht="14" thickBot="1">
      <c r="B185" s="1210" t="s">
        <v>388</v>
      </c>
      <c r="C185" s="1221" t="str">
        <f>IF(OR(C182&gt;0,C183&gt;0,C184&gt;0),1,"")</f>
        <v/>
      </c>
      <c r="D185" s="1222" t="str">
        <f>IF(OR(D182&gt;0,D183&gt;0,D184&gt;0),1,"")</f>
        <v/>
      </c>
      <c r="E185" s="1222" t="str">
        <f t="shared" ref="E185:L185" si="90">IF(OR(E182&gt;0,E183&gt;0,E184&gt;0),1,"")</f>
        <v/>
      </c>
      <c r="F185" s="1222" t="str">
        <f t="shared" si="90"/>
        <v/>
      </c>
      <c r="G185" s="1222" t="str">
        <f t="shared" si="90"/>
        <v/>
      </c>
      <c r="H185" s="1222" t="str">
        <f t="shared" si="90"/>
        <v/>
      </c>
      <c r="I185" s="1222" t="str">
        <f t="shared" si="90"/>
        <v/>
      </c>
      <c r="J185" s="1222" t="str">
        <f t="shared" si="90"/>
        <v/>
      </c>
      <c r="K185" s="1222" t="str">
        <f t="shared" si="90"/>
        <v/>
      </c>
      <c r="L185" s="1222" t="str">
        <f t="shared" si="90"/>
        <v/>
      </c>
      <c r="M185" s="1859"/>
      <c r="N185" s="1861"/>
      <c r="O185" s="1861"/>
      <c r="P185" s="1863"/>
      <c r="Q185" s="1855"/>
      <c r="R185" s="1857"/>
      <c r="S185" s="1857"/>
      <c r="T185" s="1857"/>
      <c r="U185" s="1857"/>
      <c r="V185" s="1865"/>
      <c r="X185" s="1210" t="s">
        <v>388</v>
      </c>
      <c r="Y185" s="1221" t="str">
        <f>IF(OR(Y182&gt;0,Y183&gt;0,Y184&gt;0),1,"")</f>
        <v/>
      </c>
      <c r="Z185" s="1222" t="str">
        <f>IF(OR(Z182&gt;0,Z183&gt;0,Z184&gt;0),1,"")</f>
        <v/>
      </c>
      <c r="AA185" s="1222" t="str">
        <f t="shared" ref="AA185:AH185" si="91">IF(OR(AA182&gt;0,AA183&gt;0,AA184&gt;0),1,"")</f>
        <v/>
      </c>
      <c r="AB185" s="1222" t="str">
        <f t="shared" si="91"/>
        <v/>
      </c>
      <c r="AC185" s="1222" t="str">
        <f t="shared" si="91"/>
        <v/>
      </c>
      <c r="AD185" s="1222" t="str">
        <f t="shared" si="91"/>
        <v/>
      </c>
      <c r="AE185" s="1222" t="str">
        <f t="shared" si="91"/>
        <v/>
      </c>
      <c r="AF185" s="1222" t="str">
        <f t="shared" si="91"/>
        <v/>
      </c>
      <c r="AG185" s="1222" t="str">
        <f t="shared" si="91"/>
        <v/>
      </c>
      <c r="AH185" s="1222" t="str">
        <f t="shared" si="91"/>
        <v/>
      </c>
      <c r="AI185" s="1859"/>
      <c r="AJ185" s="1861"/>
      <c r="AK185" s="1861"/>
      <c r="AL185" s="1863"/>
      <c r="AM185" s="1855"/>
      <c r="AN185" s="1857"/>
      <c r="AO185" s="1857"/>
      <c r="AP185" s="1857"/>
      <c r="AQ185" s="1857"/>
      <c r="AR185" s="1865"/>
      <c r="AT185" s="1210" t="s">
        <v>388</v>
      </c>
      <c r="AU185" s="1221" t="str">
        <f>IF(OR(AU182&gt;0,AU183&gt;0,AU184&gt;0),1,"")</f>
        <v/>
      </c>
      <c r="AV185" s="1222" t="str">
        <f>IF(OR(AV182&gt;0,AV183&gt;0,AV184&gt;0),1,"")</f>
        <v/>
      </c>
      <c r="AW185" s="1222" t="str">
        <f t="shared" ref="AW185:BD185" si="92">IF(OR(AW182&gt;0,AW183&gt;0,AW184&gt;0),1,"")</f>
        <v/>
      </c>
      <c r="AX185" s="1222" t="str">
        <f t="shared" si="92"/>
        <v/>
      </c>
      <c r="AY185" s="1222" t="str">
        <f t="shared" si="92"/>
        <v/>
      </c>
      <c r="AZ185" s="1222" t="str">
        <f t="shared" si="92"/>
        <v/>
      </c>
      <c r="BA185" s="1222" t="str">
        <f t="shared" si="92"/>
        <v/>
      </c>
      <c r="BB185" s="1222" t="str">
        <f t="shared" si="92"/>
        <v/>
      </c>
      <c r="BC185" s="1222" t="str">
        <f t="shared" si="92"/>
        <v/>
      </c>
      <c r="BD185" s="1222" t="str">
        <f t="shared" si="92"/>
        <v/>
      </c>
      <c r="BE185" s="1859"/>
      <c r="BF185" s="1861"/>
      <c r="BG185" s="1861"/>
      <c r="BH185" s="1863"/>
      <c r="BI185" s="1855"/>
      <c r="BJ185" s="1857"/>
      <c r="BK185" s="1857"/>
      <c r="BL185" s="1857"/>
      <c r="BM185" s="1857"/>
      <c r="BN185" s="1865"/>
    </row>
    <row r="186" spans="2:66" ht="15" customHeight="1" thickTop="1">
      <c r="B186" s="1211" t="s">
        <v>387</v>
      </c>
      <c r="C186" s="1212"/>
      <c r="D186" s="1213"/>
      <c r="E186" s="1213"/>
      <c r="F186" s="1213"/>
      <c r="G186" s="1213"/>
      <c r="H186" s="1213"/>
      <c r="I186" s="1213"/>
      <c r="J186" s="1213"/>
      <c r="K186" s="1213"/>
      <c r="L186" s="1214"/>
      <c r="M186" s="1858">
        <f>SUM(C186:L186)</f>
        <v>0</v>
      </c>
      <c r="N186" s="1860">
        <f>SUM(C187:L187)</f>
        <v>0</v>
      </c>
      <c r="O186" s="1860">
        <f>SUM(C188:L188)</f>
        <v>0</v>
      </c>
      <c r="P186" s="1862">
        <f>SUM(C189:L189)</f>
        <v>0</v>
      </c>
      <c r="Q186" s="1854" t="str">
        <f>IF(G178="","",SUM(N186:P190))</f>
        <v/>
      </c>
      <c r="R186" s="1856"/>
      <c r="S186" s="1856"/>
      <c r="T186" s="1856"/>
      <c r="U186" s="1856"/>
      <c r="V186" s="1864" t="s">
        <v>395</v>
      </c>
      <c r="X186" s="1211" t="s">
        <v>387</v>
      </c>
      <c r="Y186" s="1212"/>
      <c r="Z186" s="1213"/>
      <c r="AA186" s="1213"/>
      <c r="AB186" s="1213"/>
      <c r="AC186" s="1213"/>
      <c r="AD186" s="1213"/>
      <c r="AE186" s="1213"/>
      <c r="AF186" s="1213"/>
      <c r="AG186" s="1213"/>
      <c r="AH186" s="1214"/>
      <c r="AI186" s="1858">
        <f>SUM(Y186:AH186)</f>
        <v>0</v>
      </c>
      <c r="AJ186" s="1860">
        <f>SUM(Y187:AH187)</f>
        <v>0</v>
      </c>
      <c r="AK186" s="1860">
        <f>SUM(Y188:AH188)</f>
        <v>0</v>
      </c>
      <c r="AL186" s="1862">
        <f>SUM(Y189:AH189)</f>
        <v>0</v>
      </c>
      <c r="AM186" s="1854" t="str">
        <f>IF(AC178="","",SUM(AJ186:AL190))</f>
        <v/>
      </c>
      <c r="AN186" s="1856"/>
      <c r="AO186" s="1856"/>
      <c r="AP186" s="1856"/>
      <c r="AQ186" s="1856"/>
      <c r="AR186" s="1864" t="s">
        <v>395</v>
      </c>
      <c r="AT186" s="1211" t="s">
        <v>387</v>
      </c>
      <c r="AU186" s="1212"/>
      <c r="AV186" s="1213"/>
      <c r="AW186" s="1213"/>
      <c r="AX186" s="1213"/>
      <c r="AY186" s="1213"/>
      <c r="AZ186" s="1213"/>
      <c r="BA186" s="1213"/>
      <c r="BB186" s="1213"/>
      <c r="BC186" s="1213"/>
      <c r="BD186" s="1214"/>
      <c r="BE186" s="1858">
        <f>SUM(AU186:BD186)</f>
        <v>0</v>
      </c>
      <c r="BF186" s="1860">
        <f>SUM(AU187:BD187)</f>
        <v>0</v>
      </c>
      <c r="BG186" s="1860">
        <f>SUM(AU188:BD188)</f>
        <v>0</v>
      </c>
      <c r="BH186" s="1862">
        <f>SUM(AU189:BD189)</f>
        <v>0</v>
      </c>
      <c r="BI186" s="1854" t="str">
        <f>IF(AY178="","",SUM(BF186:BH190))</f>
        <v/>
      </c>
      <c r="BJ186" s="1856"/>
      <c r="BK186" s="1856"/>
      <c r="BL186" s="1856"/>
      <c r="BM186" s="1856"/>
      <c r="BN186" s="1864" t="s">
        <v>395</v>
      </c>
    </row>
    <row r="187" spans="2:66" ht="13.5">
      <c r="B187" s="1198" t="s">
        <v>383</v>
      </c>
      <c r="C187" s="1199"/>
      <c r="D187" s="1200"/>
      <c r="E187" s="1200"/>
      <c r="F187" s="1200"/>
      <c r="G187" s="1200"/>
      <c r="H187" s="1200"/>
      <c r="I187" s="1200"/>
      <c r="J187" s="1200"/>
      <c r="K187" s="1200"/>
      <c r="L187" s="1201"/>
      <c r="M187" s="1843"/>
      <c r="N187" s="1846"/>
      <c r="O187" s="1846"/>
      <c r="P187" s="1849"/>
      <c r="Q187" s="1852"/>
      <c r="R187" s="1840"/>
      <c r="S187" s="1840"/>
      <c r="T187" s="1840"/>
      <c r="U187" s="1840"/>
      <c r="V187" s="1837"/>
      <c r="X187" s="1198" t="s">
        <v>383</v>
      </c>
      <c r="Y187" s="1199"/>
      <c r="Z187" s="1200"/>
      <c r="AA187" s="1200"/>
      <c r="AB187" s="1200"/>
      <c r="AC187" s="1200"/>
      <c r="AD187" s="1200"/>
      <c r="AE187" s="1200"/>
      <c r="AF187" s="1200"/>
      <c r="AG187" s="1200"/>
      <c r="AH187" s="1201"/>
      <c r="AI187" s="1843"/>
      <c r="AJ187" s="1846"/>
      <c r="AK187" s="1846"/>
      <c r="AL187" s="1849"/>
      <c r="AM187" s="1852"/>
      <c r="AN187" s="1840"/>
      <c r="AO187" s="1840"/>
      <c r="AP187" s="1840"/>
      <c r="AQ187" s="1840"/>
      <c r="AR187" s="1837"/>
      <c r="AT187" s="1198" t="s">
        <v>383</v>
      </c>
      <c r="AU187" s="1199"/>
      <c r="AV187" s="1200"/>
      <c r="AW187" s="1200"/>
      <c r="AX187" s="1200"/>
      <c r="AY187" s="1200"/>
      <c r="AZ187" s="1200"/>
      <c r="BA187" s="1200"/>
      <c r="BB187" s="1200"/>
      <c r="BC187" s="1200"/>
      <c r="BD187" s="1201"/>
      <c r="BE187" s="1843"/>
      <c r="BF187" s="1846"/>
      <c r="BG187" s="1846"/>
      <c r="BH187" s="1849"/>
      <c r="BI187" s="1852"/>
      <c r="BJ187" s="1840"/>
      <c r="BK187" s="1840"/>
      <c r="BL187" s="1840"/>
      <c r="BM187" s="1840"/>
      <c r="BN187" s="1837"/>
    </row>
    <row r="188" spans="2:66" ht="13.5">
      <c r="B188" s="1202" t="s">
        <v>384</v>
      </c>
      <c r="C188" s="1203"/>
      <c r="D188" s="1204"/>
      <c r="E188" s="1204"/>
      <c r="F188" s="1204"/>
      <c r="G188" s="1204"/>
      <c r="H188" s="1204"/>
      <c r="I188" s="1204"/>
      <c r="J188" s="1204"/>
      <c r="K188" s="1204"/>
      <c r="L188" s="1205"/>
      <c r="M188" s="1843"/>
      <c r="N188" s="1846"/>
      <c r="O188" s="1846"/>
      <c r="P188" s="1849"/>
      <c r="Q188" s="1852"/>
      <c r="R188" s="1840"/>
      <c r="S188" s="1840"/>
      <c r="T188" s="1840"/>
      <c r="U188" s="1840"/>
      <c r="V188" s="1837"/>
      <c r="X188" s="1202" t="s">
        <v>384</v>
      </c>
      <c r="Y188" s="1203"/>
      <c r="Z188" s="1204"/>
      <c r="AA188" s="1204"/>
      <c r="AB188" s="1204"/>
      <c r="AC188" s="1204"/>
      <c r="AD188" s="1204"/>
      <c r="AE188" s="1204"/>
      <c r="AF188" s="1204"/>
      <c r="AG188" s="1204"/>
      <c r="AH188" s="1205"/>
      <c r="AI188" s="1843"/>
      <c r="AJ188" s="1846"/>
      <c r="AK188" s="1846"/>
      <c r="AL188" s="1849"/>
      <c r="AM188" s="1852"/>
      <c r="AN188" s="1840"/>
      <c r="AO188" s="1840"/>
      <c r="AP188" s="1840"/>
      <c r="AQ188" s="1840"/>
      <c r="AR188" s="1837"/>
      <c r="AT188" s="1202" t="s">
        <v>384</v>
      </c>
      <c r="AU188" s="1203"/>
      <c r="AV188" s="1204"/>
      <c r="AW188" s="1204"/>
      <c r="AX188" s="1204"/>
      <c r="AY188" s="1204"/>
      <c r="AZ188" s="1204"/>
      <c r="BA188" s="1204"/>
      <c r="BB188" s="1204"/>
      <c r="BC188" s="1204"/>
      <c r="BD188" s="1205"/>
      <c r="BE188" s="1843"/>
      <c r="BF188" s="1846"/>
      <c r="BG188" s="1846"/>
      <c r="BH188" s="1849"/>
      <c r="BI188" s="1852"/>
      <c r="BJ188" s="1840"/>
      <c r="BK188" s="1840"/>
      <c r="BL188" s="1840"/>
      <c r="BM188" s="1840"/>
      <c r="BN188" s="1837"/>
    </row>
    <row r="189" spans="2:66" ht="13.5">
      <c r="B189" s="1202" t="s">
        <v>385</v>
      </c>
      <c r="C189" s="1203"/>
      <c r="D189" s="1204"/>
      <c r="E189" s="1204"/>
      <c r="F189" s="1204"/>
      <c r="G189" s="1204"/>
      <c r="H189" s="1204"/>
      <c r="I189" s="1204"/>
      <c r="J189" s="1204"/>
      <c r="K189" s="1204"/>
      <c r="L189" s="1205"/>
      <c r="M189" s="1843"/>
      <c r="N189" s="1846"/>
      <c r="O189" s="1846"/>
      <c r="P189" s="1849"/>
      <c r="Q189" s="1852"/>
      <c r="R189" s="1840"/>
      <c r="S189" s="1840"/>
      <c r="T189" s="1840"/>
      <c r="U189" s="1840"/>
      <c r="V189" s="1837"/>
      <c r="X189" s="1202" t="s">
        <v>385</v>
      </c>
      <c r="Y189" s="1203"/>
      <c r="Z189" s="1204"/>
      <c r="AA189" s="1204"/>
      <c r="AB189" s="1204"/>
      <c r="AC189" s="1204"/>
      <c r="AD189" s="1204"/>
      <c r="AE189" s="1204"/>
      <c r="AF189" s="1204"/>
      <c r="AG189" s="1204"/>
      <c r="AH189" s="1205"/>
      <c r="AI189" s="1843"/>
      <c r="AJ189" s="1846"/>
      <c r="AK189" s="1846"/>
      <c r="AL189" s="1849"/>
      <c r="AM189" s="1852"/>
      <c r="AN189" s="1840"/>
      <c r="AO189" s="1840"/>
      <c r="AP189" s="1840"/>
      <c r="AQ189" s="1840"/>
      <c r="AR189" s="1837"/>
      <c r="AT189" s="1202" t="s">
        <v>385</v>
      </c>
      <c r="AU189" s="1203"/>
      <c r="AV189" s="1204"/>
      <c r="AW189" s="1204"/>
      <c r="AX189" s="1204"/>
      <c r="AY189" s="1204"/>
      <c r="AZ189" s="1204"/>
      <c r="BA189" s="1204"/>
      <c r="BB189" s="1204"/>
      <c r="BC189" s="1204"/>
      <c r="BD189" s="1205"/>
      <c r="BE189" s="1843"/>
      <c r="BF189" s="1846"/>
      <c r="BG189" s="1846"/>
      <c r="BH189" s="1849"/>
      <c r="BI189" s="1852"/>
      <c r="BJ189" s="1840"/>
      <c r="BK189" s="1840"/>
      <c r="BL189" s="1840"/>
      <c r="BM189" s="1840"/>
      <c r="BN189" s="1837"/>
    </row>
    <row r="190" spans="2:66" ht="14" thickBot="1">
      <c r="B190" s="1210" t="s">
        <v>388</v>
      </c>
      <c r="C190" s="1221" t="str">
        <f>IF(OR(C187&gt;0,C188&gt;0,C189&gt;0),1,"")</f>
        <v/>
      </c>
      <c r="D190" s="1222" t="str">
        <f>IF(OR(D187&gt;0,D188&gt;0,D189&gt;0),1,"")</f>
        <v/>
      </c>
      <c r="E190" s="1222" t="str">
        <f t="shared" ref="E190:L190" si="93">IF(OR(E187&gt;0,E188&gt;0,E189&gt;0),1,"")</f>
        <v/>
      </c>
      <c r="F190" s="1222" t="str">
        <f t="shared" si="93"/>
        <v/>
      </c>
      <c r="G190" s="1222" t="str">
        <f t="shared" si="93"/>
        <v/>
      </c>
      <c r="H190" s="1222" t="str">
        <f t="shared" si="93"/>
        <v/>
      </c>
      <c r="I190" s="1222" t="str">
        <f t="shared" si="93"/>
        <v/>
      </c>
      <c r="J190" s="1222" t="str">
        <f t="shared" si="93"/>
        <v/>
      </c>
      <c r="K190" s="1222" t="str">
        <f t="shared" si="93"/>
        <v/>
      </c>
      <c r="L190" s="1222" t="str">
        <f t="shared" si="93"/>
        <v/>
      </c>
      <c r="M190" s="1859"/>
      <c r="N190" s="1861"/>
      <c r="O190" s="1861"/>
      <c r="P190" s="1863"/>
      <c r="Q190" s="1855"/>
      <c r="R190" s="1857"/>
      <c r="S190" s="1857"/>
      <c r="T190" s="1857"/>
      <c r="U190" s="1857"/>
      <c r="V190" s="1865"/>
      <c r="X190" s="1210" t="s">
        <v>388</v>
      </c>
      <c r="Y190" s="1221" t="str">
        <f>IF(OR(Y187&gt;0,Y188&gt;0,Y189&gt;0),1,"")</f>
        <v/>
      </c>
      <c r="Z190" s="1222" t="str">
        <f>IF(OR(Z187&gt;0,Z188&gt;0,Z189&gt;0),1,"")</f>
        <v/>
      </c>
      <c r="AA190" s="1222" t="str">
        <f t="shared" ref="AA190:AH190" si="94">IF(OR(AA187&gt;0,AA188&gt;0,AA189&gt;0),1,"")</f>
        <v/>
      </c>
      <c r="AB190" s="1222" t="str">
        <f t="shared" si="94"/>
        <v/>
      </c>
      <c r="AC190" s="1222" t="str">
        <f t="shared" si="94"/>
        <v/>
      </c>
      <c r="AD190" s="1222" t="str">
        <f t="shared" si="94"/>
        <v/>
      </c>
      <c r="AE190" s="1222" t="str">
        <f t="shared" si="94"/>
        <v/>
      </c>
      <c r="AF190" s="1222" t="str">
        <f t="shared" si="94"/>
        <v/>
      </c>
      <c r="AG190" s="1222" t="str">
        <f t="shared" si="94"/>
        <v/>
      </c>
      <c r="AH190" s="1222" t="str">
        <f t="shared" si="94"/>
        <v/>
      </c>
      <c r="AI190" s="1859"/>
      <c r="AJ190" s="1861"/>
      <c r="AK190" s="1861"/>
      <c r="AL190" s="1863"/>
      <c r="AM190" s="1855"/>
      <c r="AN190" s="1857"/>
      <c r="AO190" s="1857"/>
      <c r="AP190" s="1857"/>
      <c r="AQ190" s="1857"/>
      <c r="AR190" s="1865"/>
      <c r="AT190" s="1210" t="s">
        <v>388</v>
      </c>
      <c r="AU190" s="1221" t="str">
        <f>IF(OR(AU187&gt;0,AU188&gt;0,AU189&gt;0),1,"")</f>
        <v/>
      </c>
      <c r="AV190" s="1222" t="str">
        <f>IF(OR(AV187&gt;0,AV188&gt;0,AV189&gt;0),1,"")</f>
        <v/>
      </c>
      <c r="AW190" s="1222" t="str">
        <f t="shared" ref="AW190:BD190" si="95">IF(OR(AW187&gt;0,AW188&gt;0,AW189&gt;0),1,"")</f>
        <v/>
      </c>
      <c r="AX190" s="1222" t="str">
        <f t="shared" si="95"/>
        <v/>
      </c>
      <c r="AY190" s="1222" t="str">
        <f t="shared" si="95"/>
        <v/>
      </c>
      <c r="AZ190" s="1222" t="str">
        <f t="shared" si="95"/>
        <v/>
      </c>
      <c r="BA190" s="1222" t="str">
        <f t="shared" si="95"/>
        <v/>
      </c>
      <c r="BB190" s="1222" t="str">
        <f t="shared" si="95"/>
        <v/>
      </c>
      <c r="BC190" s="1222" t="str">
        <f t="shared" si="95"/>
        <v/>
      </c>
      <c r="BD190" s="1222" t="str">
        <f t="shared" si="95"/>
        <v/>
      </c>
      <c r="BE190" s="1859"/>
      <c r="BF190" s="1861"/>
      <c r="BG190" s="1861"/>
      <c r="BH190" s="1863"/>
      <c r="BI190" s="1855"/>
      <c r="BJ190" s="1857"/>
      <c r="BK190" s="1857"/>
      <c r="BL190" s="1857"/>
      <c r="BM190" s="1857"/>
      <c r="BN190" s="1865"/>
    </row>
    <row r="191" spans="2:66" ht="15" customHeight="1" thickTop="1">
      <c r="B191" s="1194" t="s">
        <v>387</v>
      </c>
      <c r="C191" s="1195"/>
      <c r="D191" s="1196"/>
      <c r="E191" s="1196"/>
      <c r="F191" s="1196"/>
      <c r="G191" s="1196"/>
      <c r="H191" s="1196"/>
      <c r="I191" s="1196"/>
      <c r="J191" s="1196"/>
      <c r="K191" s="1196"/>
      <c r="L191" s="1197"/>
      <c r="M191" s="1858">
        <f>SUM(C191:L191)</f>
        <v>0</v>
      </c>
      <c r="N191" s="1860">
        <f>SUM(C192:L192)</f>
        <v>0</v>
      </c>
      <c r="O191" s="1860">
        <f>SUM(C193:L193)</f>
        <v>0</v>
      </c>
      <c r="P191" s="1862">
        <f>SUM(C194:L194)</f>
        <v>0</v>
      </c>
      <c r="Q191" s="1854" t="str">
        <f>IF(G178="","",SUM(N191:P195))</f>
        <v/>
      </c>
      <c r="R191" s="1856"/>
      <c r="S191" s="1856"/>
      <c r="T191" s="1856"/>
      <c r="U191" s="1856"/>
      <c r="V191" s="1864" t="s">
        <v>395</v>
      </c>
      <c r="X191" s="1194" t="s">
        <v>387</v>
      </c>
      <c r="Y191" s="1195"/>
      <c r="Z191" s="1196"/>
      <c r="AA191" s="1196"/>
      <c r="AB191" s="1196"/>
      <c r="AC191" s="1196"/>
      <c r="AD191" s="1196"/>
      <c r="AE191" s="1196"/>
      <c r="AF191" s="1196"/>
      <c r="AG191" s="1196"/>
      <c r="AH191" s="1197"/>
      <c r="AI191" s="1858">
        <f>SUM(Y191:AH191)</f>
        <v>0</v>
      </c>
      <c r="AJ191" s="1860">
        <f>SUM(Y192:AH192)</f>
        <v>0</v>
      </c>
      <c r="AK191" s="1860">
        <f>SUM(Y193:AH193)</f>
        <v>0</v>
      </c>
      <c r="AL191" s="1862">
        <f>SUM(Y194:AH194)</f>
        <v>0</v>
      </c>
      <c r="AM191" s="1854" t="str">
        <f>IF(AC178="","",SUM(AJ191:AL195))</f>
        <v/>
      </c>
      <c r="AN191" s="1856"/>
      <c r="AO191" s="1856"/>
      <c r="AP191" s="1856"/>
      <c r="AQ191" s="1856"/>
      <c r="AR191" s="1864" t="s">
        <v>395</v>
      </c>
      <c r="AT191" s="1194" t="s">
        <v>387</v>
      </c>
      <c r="AU191" s="1195"/>
      <c r="AV191" s="1196"/>
      <c r="AW191" s="1196"/>
      <c r="AX191" s="1196"/>
      <c r="AY191" s="1196"/>
      <c r="AZ191" s="1196"/>
      <c r="BA191" s="1196"/>
      <c r="BB191" s="1196"/>
      <c r="BC191" s="1196"/>
      <c r="BD191" s="1197"/>
      <c r="BE191" s="1858">
        <f>SUM(AU191:BD191)</f>
        <v>0</v>
      </c>
      <c r="BF191" s="1860">
        <f>SUM(AU192:BD192)</f>
        <v>0</v>
      </c>
      <c r="BG191" s="1860">
        <f>SUM(AU193:BD193)</f>
        <v>0</v>
      </c>
      <c r="BH191" s="1862">
        <f>SUM(AU194:BD194)</f>
        <v>0</v>
      </c>
      <c r="BI191" s="1854" t="str">
        <f>IF(AY178="","",SUM(BF191:BH195))</f>
        <v/>
      </c>
      <c r="BJ191" s="1856"/>
      <c r="BK191" s="1856"/>
      <c r="BL191" s="1856"/>
      <c r="BM191" s="1856"/>
      <c r="BN191" s="1864" t="s">
        <v>395</v>
      </c>
    </row>
    <row r="192" spans="2:66" ht="13.5">
      <c r="B192" s="1198" t="s">
        <v>383</v>
      </c>
      <c r="C192" s="1199"/>
      <c r="D192" s="1200"/>
      <c r="E192" s="1200"/>
      <c r="F192" s="1200"/>
      <c r="G192" s="1200"/>
      <c r="H192" s="1200"/>
      <c r="I192" s="1200"/>
      <c r="J192" s="1200"/>
      <c r="K192" s="1200"/>
      <c r="L192" s="1201"/>
      <c r="M192" s="1843"/>
      <c r="N192" s="1846"/>
      <c r="O192" s="1846"/>
      <c r="P192" s="1849"/>
      <c r="Q192" s="1852"/>
      <c r="R192" s="1840"/>
      <c r="S192" s="1840"/>
      <c r="T192" s="1840"/>
      <c r="U192" s="1840"/>
      <c r="V192" s="1837"/>
      <c r="X192" s="1198" t="s">
        <v>383</v>
      </c>
      <c r="Y192" s="1199"/>
      <c r="Z192" s="1200"/>
      <c r="AA192" s="1200"/>
      <c r="AB192" s="1200"/>
      <c r="AC192" s="1200"/>
      <c r="AD192" s="1200"/>
      <c r="AE192" s="1200"/>
      <c r="AF192" s="1200"/>
      <c r="AG192" s="1200"/>
      <c r="AH192" s="1201"/>
      <c r="AI192" s="1843"/>
      <c r="AJ192" s="1846"/>
      <c r="AK192" s="1846"/>
      <c r="AL192" s="1849"/>
      <c r="AM192" s="1852"/>
      <c r="AN192" s="1840"/>
      <c r="AO192" s="1840"/>
      <c r="AP192" s="1840"/>
      <c r="AQ192" s="1840"/>
      <c r="AR192" s="1837"/>
      <c r="AT192" s="1198" t="s">
        <v>383</v>
      </c>
      <c r="AU192" s="1199"/>
      <c r="AV192" s="1200"/>
      <c r="AW192" s="1200"/>
      <c r="AX192" s="1200"/>
      <c r="AY192" s="1200"/>
      <c r="AZ192" s="1200"/>
      <c r="BA192" s="1200"/>
      <c r="BB192" s="1200"/>
      <c r="BC192" s="1200"/>
      <c r="BD192" s="1201"/>
      <c r="BE192" s="1843"/>
      <c r="BF192" s="1846"/>
      <c r="BG192" s="1846"/>
      <c r="BH192" s="1849"/>
      <c r="BI192" s="1852"/>
      <c r="BJ192" s="1840"/>
      <c r="BK192" s="1840"/>
      <c r="BL192" s="1840"/>
      <c r="BM192" s="1840"/>
      <c r="BN192" s="1837"/>
    </row>
    <row r="193" spans="2:66" ht="13.5">
      <c r="B193" s="1202" t="s">
        <v>384</v>
      </c>
      <c r="C193" s="1203"/>
      <c r="D193" s="1204"/>
      <c r="E193" s="1204"/>
      <c r="F193" s="1204"/>
      <c r="G193" s="1204"/>
      <c r="H193" s="1204"/>
      <c r="I193" s="1204"/>
      <c r="J193" s="1204"/>
      <c r="K193" s="1204"/>
      <c r="L193" s="1205"/>
      <c r="M193" s="1843"/>
      <c r="N193" s="1846"/>
      <c r="O193" s="1846"/>
      <c r="P193" s="1849"/>
      <c r="Q193" s="1852"/>
      <c r="R193" s="1840"/>
      <c r="S193" s="1840"/>
      <c r="T193" s="1840"/>
      <c r="U193" s="1840"/>
      <c r="V193" s="1837"/>
      <c r="X193" s="1202" t="s">
        <v>384</v>
      </c>
      <c r="Y193" s="1203"/>
      <c r="Z193" s="1204"/>
      <c r="AA193" s="1204"/>
      <c r="AB193" s="1204"/>
      <c r="AC193" s="1204"/>
      <c r="AD193" s="1204"/>
      <c r="AE193" s="1204"/>
      <c r="AF193" s="1204"/>
      <c r="AG193" s="1204"/>
      <c r="AH193" s="1205"/>
      <c r="AI193" s="1843"/>
      <c r="AJ193" s="1846"/>
      <c r="AK193" s="1846"/>
      <c r="AL193" s="1849"/>
      <c r="AM193" s="1852"/>
      <c r="AN193" s="1840"/>
      <c r="AO193" s="1840"/>
      <c r="AP193" s="1840"/>
      <c r="AQ193" s="1840"/>
      <c r="AR193" s="1837"/>
      <c r="AT193" s="1202" t="s">
        <v>384</v>
      </c>
      <c r="AU193" s="1203"/>
      <c r="AV193" s="1204"/>
      <c r="AW193" s="1204"/>
      <c r="AX193" s="1204"/>
      <c r="AY193" s="1204"/>
      <c r="AZ193" s="1204"/>
      <c r="BA193" s="1204"/>
      <c r="BB193" s="1204"/>
      <c r="BC193" s="1204"/>
      <c r="BD193" s="1205"/>
      <c r="BE193" s="1843"/>
      <c r="BF193" s="1846"/>
      <c r="BG193" s="1846"/>
      <c r="BH193" s="1849"/>
      <c r="BI193" s="1852"/>
      <c r="BJ193" s="1840"/>
      <c r="BK193" s="1840"/>
      <c r="BL193" s="1840"/>
      <c r="BM193" s="1840"/>
      <c r="BN193" s="1837"/>
    </row>
    <row r="194" spans="2:66" ht="13.5">
      <c r="B194" s="1206" t="s">
        <v>385</v>
      </c>
      <c r="C194" s="1207"/>
      <c r="D194" s="1208"/>
      <c r="E194" s="1208"/>
      <c r="F194" s="1208"/>
      <c r="G194" s="1208"/>
      <c r="H194" s="1208"/>
      <c r="I194" s="1208"/>
      <c r="J194" s="1208"/>
      <c r="K194" s="1208"/>
      <c r="L194" s="1209"/>
      <c r="M194" s="1843"/>
      <c r="N194" s="1846"/>
      <c r="O194" s="1846"/>
      <c r="P194" s="1849"/>
      <c r="Q194" s="1852"/>
      <c r="R194" s="1840"/>
      <c r="S194" s="1840"/>
      <c r="T194" s="1840"/>
      <c r="U194" s="1840"/>
      <c r="V194" s="1837"/>
      <c r="X194" s="1206" t="s">
        <v>385</v>
      </c>
      <c r="Y194" s="1207"/>
      <c r="Z194" s="1208"/>
      <c r="AA194" s="1208"/>
      <c r="AB194" s="1208"/>
      <c r="AC194" s="1208"/>
      <c r="AD194" s="1208"/>
      <c r="AE194" s="1208"/>
      <c r="AF194" s="1208"/>
      <c r="AG194" s="1208"/>
      <c r="AH194" s="1209"/>
      <c r="AI194" s="1843"/>
      <c r="AJ194" s="1846"/>
      <c r="AK194" s="1846"/>
      <c r="AL194" s="1849"/>
      <c r="AM194" s="1852"/>
      <c r="AN194" s="1840"/>
      <c r="AO194" s="1840"/>
      <c r="AP194" s="1840"/>
      <c r="AQ194" s="1840"/>
      <c r="AR194" s="1837"/>
      <c r="AT194" s="1206" t="s">
        <v>385</v>
      </c>
      <c r="AU194" s="1207"/>
      <c r="AV194" s="1208"/>
      <c r="AW194" s="1208"/>
      <c r="AX194" s="1208"/>
      <c r="AY194" s="1208"/>
      <c r="AZ194" s="1208"/>
      <c r="BA194" s="1208"/>
      <c r="BB194" s="1208"/>
      <c r="BC194" s="1208"/>
      <c r="BD194" s="1209"/>
      <c r="BE194" s="1843"/>
      <c r="BF194" s="1846"/>
      <c r="BG194" s="1846"/>
      <c r="BH194" s="1849"/>
      <c r="BI194" s="1852"/>
      <c r="BJ194" s="1840"/>
      <c r="BK194" s="1840"/>
      <c r="BL194" s="1840"/>
      <c r="BM194" s="1840"/>
      <c r="BN194" s="1837"/>
    </row>
    <row r="195" spans="2:66" ht="14" thickBot="1">
      <c r="B195" s="1210" t="s">
        <v>388</v>
      </c>
      <c r="C195" s="1221" t="str">
        <f>IF(OR(C192&gt;0,C193&gt;0,C194&gt;0),1,"")</f>
        <v/>
      </c>
      <c r="D195" s="1222" t="str">
        <f>IF(OR(D192&gt;0,D193&gt;0,D194&gt;0),1,"")</f>
        <v/>
      </c>
      <c r="E195" s="1222" t="str">
        <f t="shared" ref="E195:L195" si="96">IF(OR(E192&gt;0,E193&gt;0,E194&gt;0),1,"")</f>
        <v/>
      </c>
      <c r="F195" s="1222" t="str">
        <f t="shared" si="96"/>
        <v/>
      </c>
      <c r="G195" s="1222" t="str">
        <f t="shared" si="96"/>
        <v/>
      </c>
      <c r="H195" s="1222" t="str">
        <f t="shared" si="96"/>
        <v/>
      </c>
      <c r="I195" s="1222" t="str">
        <f t="shared" si="96"/>
        <v/>
      </c>
      <c r="J195" s="1222" t="str">
        <f t="shared" si="96"/>
        <v/>
      </c>
      <c r="K195" s="1222" t="str">
        <f t="shared" si="96"/>
        <v/>
      </c>
      <c r="L195" s="1222" t="str">
        <f t="shared" si="96"/>
        <v/>
      </c>
      <c r="M195" s="1859"/>
      <c r="N195" s="1861"/>
      <c r="O195" s="1861"/>
      <c r="P195" s="1863"/>
      <c r="Q195" s="1855"/>
      <c r="R195" s="1857"/>
      <c r="S195" s="1857"/>
      <c r="T195" s="1857"/>
      <c r="U195" s="1857"/>
      <c r="V195" s="1865"/>
      <c r="X195" s="1210" t="s">
        <v>388</v>
      </c>
      <c r="Y195" s="1221" t="str">
        <f>IF(OR(Y192&gt;0,Y193&gt;0,Y194&gt;0),1,"")</f>
        <v/>
      </c>
      <c r="Z195" s="1222" t="str">
        <f>IF(OR(Z192&gt;0,Z193&gt;0,Z194&gt;0),1,"")</f>
        <v/>
      </c>
      <c r="AA195" s="1222" t="str">
        <f t="shared" ref="AA195:AH195" si="97">IF(OR(AA192&gt;0,AA193&gt;0,AA194&gt;0),1,"")</f>
        <v/>
      </c>
      <c r="AB195" s="1222" t="str">
        <f t="shared" si="97"/>
        <v/>
      </c>
      <c r="AC195" s="1222" t="str">
        <f t="shared" si="97"/>
        <v/>
      </c>
      <c r="AD195" s="1222" t="str">
        <f t="shared" si="97"/>
        <v/>
      </c>
      <c r="AE195" s="1222" t="str">
        <f t="shared" si="97"/>
        <v/>
      </c>
      <c r="AF195" s="1222" t="str">
        <f t="shared" si="97"/>
        <v/>
      </c>
      <c r="AG195" s="1222" t="str">
        <f t="shared" si="97"/>
        <v/>
      </c>
      <c r="AH195" s="1222" t="str">
        <f t="shared" si="97"/>
        <v/>
      </c>
      <c r="AI195" s="1859"/>
      <c r="AJ195" s="1861"/>
      <c r="AK195" s="1861"/>
      <c r="AL195" s="1863"/>
      <c r="AM195" s="1855"/>
      <c r="AN195" s="1857"/>
      <c r="AO195" s="1857"/>
      <c r="AP195" s="1857"/>
      <c r="AQ195" s="1857"/>
      <c r="AR195" s="1865"/>
      <c r="AT195" s="1210" t="s">
        <v>388</v>
      </c>
      <c r="AU195" s="1221" t="str">
        <f>IF(OR(AU192&gt;0,AU193&gt;0,AU194&gt;0),1,"")</f>
        <v/>
      </c>
      <c r="AV195" s="1222" t="str">
        <f>IF(OR(AV192&gt;0,AV193&gt;0,AV194&gt;0),1,"")</f>
        <v/>
      </c>
      <c r="AW195" s="1222" t="str">
        <f t="shared" ref="AW195:BD195" si="98">IF(OR(AW192&gt;0,AW193&gt;0,AW194&gt;0),1,"")</f>
        <v/>
      </c>
      <c r="AX195" s="1222" t="str">
        <f t="shared" si="98"/>
        <v/>
      </c>
      <c r="AY195" s="1222" t="str">
        <f t="shared" si="98"/>
        <v/>
      </c>
      <c r="AZ195" s="1222" t="str">
        <f t="shared" si="98"/>
        <v/>
      </c>
      <c r="BA195" s="1222" t="str">
        <f t="shared" si="98"/>
        <v/>
      </c>
      <c r="BB195" s="1222" t="str">
        <f t="shared" si="98"/>
        <v/>
      </c>
      <c r="BC195" s="1222" t="str">
        <f t="shared" si="98"/>
        <v/>
      </c>
      <c r="BD195" s="1222" t="str">
        <f t="shared" si="98"/>
        <v/>
      </c>
      <c r="BE195" s="1859"/>
      <c r="BF195" s="1861"/>
      <c r="BG195" s="1861"/>
      <c r="BH195" s="1863"/>
      <c r="BI195" s="1855"/>
      <c r="BJ195" s="1857"/>
      <c r="BK195" s="1857"/>
      <c r="BL195" s="1857"/>
      <c r="BM195" s="1857"/>
      <c r="BN195" s="1865"/>
    </row>
    <row r="196" spans="2:66" ht="15" customHeight="1" thickTop="1">
      <c r="B196" s="1194" t="s">
        <v>387</v>
      </c>
      <c r="C196" s="1195"/>
      <c r="D196" s="1196"/>
      <c r="E196" s="1196"/>
      <c r="F196" s="1196"/>
      <c r="G196" s="1196"/>
      <c r="H196" s="1196"/>
      <c r="I196" s="1196"/>
      <c r="J196" s="1196"/>
      <c r="K196" s="1196"/>
      <c r="L196" s="1197"/>
      <c r="M196" s="1858">
        <f>SUM(C196:L196)</f>
        <v>0</v>
      </c>
      <c r="N196" s="1860">
        <f>SUM(C197:L197)</f>
        <v>0</v>
      </c>
      <c r="O196" s="1860">
        <f>SUM(C198:L198)</f>
        <v>0</v>
      </c>
      <c r="P196" s="1862">
        <f>SUM(C199:L199)</f>
        <v>0</v>
      </c>
      <c r="Q196" s="1854" t="str">
        <f>IF(G178="","",SUM(N196:P200))</f>
        <v/>
      </c>
      <c r="R196" s="1856"/>
      <c r="S196" s="1856"/>
      <c r="T196" s="1856"/>
      <c r="U196" s="1856"/>
      <c r="V196" s="1864" t="s">
        <v>395</v>
      </c>
      <c r="X196" s="1194" t="s">
        <v>387</v>
      </c>
      <c r="Y196" s="1195"/>
      <c r="Z196" s="1196"/>
      <c r="AA196" s="1196"/>
      <c r="AB196" s="1196"/>
      <c r="AC196" s="1196"/>
      <c r="AD196" s="1196"/>
      <c r="AE196" s="1196"/>
      <c r="AF196" s="1196"/>
      <c r="AG196" s="1196"/>
      <c r="AH196" s="1197"/>
      <c r="AI196" s="1858">
        <f>SUM(Y196:AH196)</f>
        <v>0</v>
      </c>
      <c r="AJ196" s="1860">
        <f>SUM(Y197:AH197)</f>
        <v>0</v>
      </c>
      <c r="AK196" s="1860">
        <f>SUM(Y198:AH198)</f>
        <v>0</v>
      </c>
      <c r="AL196" s="1862">
        <f>SUM(Y199:AH199)</f>
        <v>0</v>
      </c>
      <c r="AM196" s="1854" t="str">
        <f>IF(AC178="","",SUM(AJ196:AL200))</f>
        <v/>
      </c>
      <c r="AN196" s="1856"/>
      <c r="AO196" s="1856"/>
      <c r="AP196" s="1856"/>
      <c r="AQ196" s="1856"/>
      <c r="AR196" s="1864" t="s">
        <v>395</v>
      </c>
      <c r="AT196" s="1194" t="s">
        <v>387</v>
      </c>
      <c r="AU196" s="1195"/>
      <c r="AV196" s="1196"/>
      <c r="AW196" s="1196"/>
      <c r="AX196" s="1196"/>
      <c r="AY196" s="1196"/>
      <c r="AZ196" s="1196"/>
      <c r="BA196" s="1196"/>
      <c r="BB196" s="1196"/>
      <c r="BC196" s="1196"/>
      <c r="BD196" s="1197"/>
      <c r="BE196" s="1858">
        <f>SUM(AU196:BD196)</f>
        <v>0</v>
      </c>
      <c r="BF196" s="1860">
        <f>SUM(AU197:BD197)</f>
        <v>0</v>
      </c>
      <c r="BG196" s="1860">
        <f>SUM(AU198:BD198)</f>
        <v>0</v>
      </c>
      <c r="BH196" s="1862">
        <f>SUM(AU199:BD199)</f>
        <v>0</v>
      </c>
      <c r="BI196" s="1854" t="str">
        <f>IF(AY178="","",SUM(BF196:BH200))</f>
        <v/>
      </c>
      <c r="BJ196" s="1856"/>
      <c r="BK196" s="1856"/>
      <c r="BL196" s="1856"/>
      <c r="BM196" s="1856"/>
      <c r="BN196" s="1864" t="s">
        <v>395</v>
      </c>
    </row>
    <row r="197" spans="2:66" ht="13.5">
      <c r="B197" s="1198" t="s">
        <v>383</v>
      </c>
      <c r="C197" s="1199"/>
      <c r="D197" s="1200"/>
      <c r="E197" s="1200"/>
      <c r="F197" s="1200"/>
      <c r="G197" s="1200"/>
      <c r="H197" s="1200"/>
      <c r="I197" s="1200"/>
      <c r="J197" s="1200"/>
      <c r="K197" s="1200"/>
      <c r="L197" s="1201"/>
      <c r="M197" s="1843"/>
      <c r="N197" s="1846"/>
      <c r="O197" s="1846"/>
      <c r="P197" s="1849"/>
      <c r="Q197" s="1852"/>
      <c r="R197" s="1840"/>
      <c r="S197" s="1840"/>
      <c r="T197" s="1840"/>
      <c r="U197" s="1840"/>
      <c r="V197" s="1837"/>
      <c r="X197" s="1198" t="s">
        <v>383</v>
      </c>
      <c r="Y197" s="1199"/>
      <c r="Z197" s="1200"/>
      <c r="AA197" s="1200"/>
      <c r="AB197" s="1200"/>
      <c r="AC197" s="1200"/>
      <c r="AD197" s="1200"/>
      <c r="AE197" s="1200"/>
      <c r="AF197" s="1200"/>
      <c r="AG197" s="1200"/>
      <c r="AH197" s="1201"/>
      <c r="AI197" s="1843"/>
      <c r="AJ197" s="1846"/>
      <c r="AK197" s="1846"/>
      <c r="AL197" s="1849"/>
      <c r="AM197" s="1852"/>
      <c r="AN197" s="1840"/>
      <c r="AO197" s="1840"/>
      <c r="AP197" s="1840"/>
      <c r="AQ197" s="1840"/>
      <c r="AR197" s="1837"/>
      <c r="AT197" s="1198" t="s">
        <v>383</v>
      </c>
      <c r="AU197" s="1199"/>
      <c r="AV197" s="1200"/>
      <c r="AW197" s="1200"/>
      <c r="AX197" s="1200"/>
      <c r="AY197" s="1200"/>
      <c r="AZ197" s="1200"/>
      <c r="BA197" s="1200"/>
      <c r="BB197" s="1200"/>
      <c r="BC197" s="1200"/>
      <c r="BD197" s="1201"/>
      <c r="BE197" s="1843"/>
      <c r="BF197" s="1846"/>
      <c r="BG197" s="1846"/>
      <c r="BH197" s="1849"/>
      <c r="BI197" s="1852"/>
      <c r="BJ197" s="1840"/>
      <c r="BK197" s="1840"/>
      <c r="BL197" s="1840"/>
      <c r="BM197" s="1840"/>
      <c r="BN197" s="1837"/>
    </row>
    <row r="198" spans="2:66" ht="13.5">
      <c r="B198" s="1202" t="s">
        <v>384</v>
      </c>
      <c r="C198" s="1203"/>
      <c r="D198" s="1204"/>
      <c r="E198" s="1204"/>
      <c r="F198" s="1204"/>
      <c r="G198" s="1204"/>
      <c r="H198" s="1204"/>
      <c r="I198" s="1204"/>
      <c r="J198" s="1204"/>
      <c r="K198" s="1204"/>
      <c r="L198" s="1205"/>
      <c r="M198" s="1843"/>
      <c r="N198" s="1846"/>
      <c r="O198" s="1846"/>
      <c r="P198" s="1849"/>
      <c r="Q198" s="1852"/>
      <c r="R198" s="1840"/>
      <c r="S198" s="1840"/>
      <c r="T198" s="1840"/>
      <c r="U198" s="1840"/>
      <c r="V198" s="1837"/>
      <c r="X198" s="1202" t="s">
        <v>384</v>
      </c>
      <c r="Y198" s="1203"/>
      <c r="Z198" s="1204"/>
      <c r="AA198" s="1204"/>
      <c r="AB198" s="1204"/>
      <c r="AC198" s="1204"/>
      <c r="AD198" s="1204"/>
      <c r="AE198" s="1204"/>
      <c r="AF198" s="1204"/>
      <c r="AG198" s="1204"/>
      <c r="AH198" s="1205"/>
      <c r="AI198" s="1843"/>
      <c r="AJ198" s="1846"/>
      <c r="AK198" s="1846"/>
      <c r="AL198" s="1849"/>
      <c r="AM198" s="1852"/>
      <c r="AN198" s="1840"/>
      <c r="AO198" s="1840"/>
      <c r="AP198" s="1840"/>
      <c r="AQ198" s="1840"/>
      <c r="AR198" s="1837"/>
      <c r="AT198" s="1202" t="s">
        <v>384</v>
      </c>
      <c r="AU198" s="1203"/>
      <c r="AV198" s="1204"/>
      <c r="AW198" s="1204"/>
      <c r="AX198" s="1204"/>
      <c r="AY198" s="1204"/>
      <c r="AZ198" s="1204"/>
      <c r="BA198" s="1204"/>
      <c r="BB198" s="1204"/>
      <c r="BC198" s="1204"/>
      <c r="BD198" s="1205"/>
      <c r="BE198" s="1843"/>
      <c r="BF198" s="1846"/>
      <c r="BG198" s="1846"/>
      <c r="BH198" s="1849"/>
      <c r="BI198" s="1852"/>
      <c r="BJ198" s="1840"/>
      <c r="BK198" s="1840"/>
      <c r="BL198" s="1840"/>
      <c r="BM198" s="1840"/>
      <c r="BN198" s="1837"/>
    </row>
    <row r="199" spans="2:66" ht="13.5">
      <c r="B199" s="1206" t="s">
        <v>385</v>
      </c>
      <c r="C199" s="1207"/>
      <c r="D199" s="1208"/>
      <c r="E199" s="1208"/>
      <c r="F199" s="1208"/>
      <c r="G199" s="1208"/>
      <c r="H199" s="1208"/>
      <c r="I199" s="1208"/>
      <c r="J199" s="1208"/>
      <c r="K199" s="1208"/>
      <c r="L199" s="1209"/>
      <c r="M199" s="1843"/>
      <c r="N199" s="1846"/>
      <c r="O199" s="1846"/>
      <c r="P199" s="1849"/>
      <c r="Q199" s="1852"/>
      <c r="R199" s="1840"/>
      <c r="S199" s="1840"/>
      <c r="T199" s="1840"/>
      <c r="U199" s="1840"/>
      <c r="V199" s="1837"/>
      <c r="X199" s="1206" t="s">
        <v>385</v>
      </c>
      <c r="Y199" s="1207"/>
      <c r="Z199" s="1208"/>
      <c r="AA199" s="1208"/>
      <c r="AB199" s="1208"/>
      <c r="AC199" s="1208"/>
      <c r="AD199" s="1208"/>
      <c r="AE199" s="1208"/>
      <c r="AF199" s="1208"/>
      <c r="AG199" s="1208"/>
      <c r="AH199" s="1209"/>
      <c r="AI199" s="1843"/>
      <c r="AJ199" s="1846"/>
      <c r="AK199" s="1846"/>
      <c r="AL199" s="1849"/>
      <c r="AM199" s="1852"/>
      <c r="AN199" s="1840"/>
      <c r="AO199" s="1840"/>
      <c r="AP199" s="1840"/>
      <c r="AQ199" s="1840"/>
      <c r="AR199" s="1837"/>
      <c r="AT199" s="1206" t="s">
        <v>385</v>
      </c>
      <c r="AU199" s="1207"/>
      <c r="AV199" s="1208"/>
      <c r="AW199" s="1208"/>
      <c r="AX199" s="1208"/>
      <c r="AY199" s="1208"/>
      <c r="AZ199" s="1208"/>
      <c r="BA199" s="1208"/>
      <c r="BB199" s="1208"/>
      <c r="BC199" s="1208"/>
      <c r="BD199" s="1209"/>
      <c r="BE199" s="1843"/>
      <c r="BF199" s="1846"/>
      <c r="BG199" s="1846"/>
      <c r="BH199" s="1849"/>
      <c r="BI199" s="1852"/>
      <c r="BJ199" s="1840"/>
      <c r="BK199" s="1840"/>
      <c r="BL199" s="1840"/>
      <c r="BM199" s="1840"/>
      <c r="BN199" s="1837"/>
    </row>
    <row r="200" spans="2:66" ht="14" thickBot="1">
      <c r="B200" s="1210" t="s">
        <v>388</v>
      </c>
      <c r="C200" s="1221" t="str">
        <f>IF(OR(C197&gt;0,C198&gt;0,C199&gt;0),1,"")</f>
        <v/>
      </c>
      <c r="D200" s="1222" t="str">
        <f>IF(OR(D197&gt;0,D198&gt;0,D199&gt;0),1,"")</f>
        <v/>
      </c>
      <c r="E200" s="1222" t="str">
        <f t="shared" ref="E200:L200" si="99">IF(OR(E197&gt;0,E198&gt;0,E199&gt;0),1,"")</f>
        <v/>
      </c>
      <c r="F200" s="1222" t="str">
        <f t="shared" si="99"/>
        <v/>
      </c>
      <c r="G200" s="1222" t="str">
        <f t="shared" si="99"/>
        <v/>
      </c>
      <c r="H200" s="1222" t="str">
        <f t="shared" si="99"/>
        <v/>
      </c>
      <c r="I200" s="1222" t="str">
        <f t="shared" si="99"/>
        <v/>
      </c>
      <c r="J200" s="1222" t="str">
        <f t="shared" si="99"/>
        <v/>
      </c>
      <c r="K200" s="1222" t="str">
        <f t="shared" si="99"/>
        <v/>
      </c>
      <c r="L200" s="1222" t="str">
        <f t="shared" si="99"/>
        <v/>
      </c>
      <c r="M200" s="1859"/>
      <c r="N200" s="1861"/>
      <c r="O200" s="1861"/>
      <c r="P200" s="1863"/>
      <c r="Q200" s="1855"/>
      <c r="R200" s="1857"/>
      <c r="S200" s="1857"/>
      <c r="T200" s="1857"/>
      <c r="U200" s="1857"/>
      <c r="V200" s="1865"/>
      <c r="X200" s="1210" t="s">
        <v>388</v>
      </c>
      <c r="Y200" s="1221" t="str">
        <f>IF(OR(Y197&gt;0,Y198&gt;0,Y199&gt;0),1,"")</f>
        <v/>
      </c>
      <c r="Z200" s="1222" t="str">
        <f>IF(OR(Z197&gt;0,Z198&gt;0,Z199&gt;0),1,"")</f>
        <v/>
      </c>
      <c r="AA200" s="1222" t="str">
        <f t="shared" ref="AA200:AH200" si="100">IF(OR(AA197&gt;0,AA198&gt;0,AA199&gt;0),1,"")</f>
        <v/>
      </c>
      <c r="AB200" s="1222" t="str">
        <f t="shared" si="100"/>
        <v/>
      </c>
      <c r="AC200" s="1222" t="str">
        <f t="shared" si="100"/>
        <v/>
      </c>
      <c r="AD200" s="1222" t="str">
        <f t="shared" si="100"/>
        <v/>
      </c>
      <c r="AE200" s="1222" t="str">
        <f t="shared" si="100"/>
        <v/>
      </c>
      <c r="AF200" s="1222" t="str">
        <f t="shared" si="100"/>
        <v/>
      </c>
      <c r="AG200" s="1222" t="str">
        <f t="shared" si="100"/>
        <v/>
      </c>
      <c r="AH200" s="1222" t="str">
        <f t="shared" si="100"/>
        <v/>
      </c>
      <c r="AI200" s="1859"/>
      <c r="AJ200" s="1861"/>
      <c r="AK200" s="1861"/>
      <c r="AL200" s="1863"/>
      <c r="AM200" s="1855"/>
      <c r="AN200" s="1857"/>
      <c r="AO200" s="1857"/>
      <c r="AP200" s="1857"/>
      <c r="AQ200" s="1857"/>
      <c r="AR200" s="1865"/>
      <c r="AT200" s="1210" t="s">
        <v>388</v>
      </c>
      <c r="AU200" s="1221" t="str">
        <f>IF(OR(AU197&gt;0,AU198&gt;0,AU199&gt;0),1,"")</f>
        <v/>
      </c>
      <c r="AV200" s="1222" t="str">
        <f>IF(OR(AV197&gt;0,AV198&gt;0,AV199&gt;0),1,"")</f>
        <v/>
      </c>
      <c r="AW200" s="1222" t="str">
        <f t="shared" ref="AW200:BD200" si="101">IF(OR(AW197&gt;0,AW198&gt;0,AW199&gt;0),1,"")</f>
        <v/>
      </c>
      <c r="AX200" s="1222" t="str">
        <f t="shared" si="101"/>
        <v/>
      </c>
      <c r="AY200" s="1222" t="str">
        <f t="shared" si="101"/>
        <v/>
      </c>
      <c r="AZ200" s="1222" t="str">
        <f t="shared" si="101"/>
        <v/>
      </c>
      <c r="BA200" s="1222" t="str">
        <f t="shared" si="101"/>
        <v/>
      </c>
      <c r="BB200" s="1222" t="str">
        <f t="shared" si="101"/>
        <v/>
      </c>
      <c r="BC200" s="1222" t="str">
        <f t="shared" si="101"/>
        <v/>
      </c>
      <c r="BD200" s="1222" t="str">
        <f t="shared" si="101"/>
        <v/>
      </c>
      <c r="BE200" s="1859"/>
      <c r="BF200" s="1861"/>
      <c r="BG200" s="1861"/>
      <c r="BH200" s="1863"/>
      <c r="BI200" s="1855"/>
      <c r="BJ200" s="1857"/>
      <c r="BK200" s="1857"/>
      <c r="BL200" s="1857"/>
      <c r="BM200" s="1857"/>
      <c r="BN200" s="1865"/>
    </row>
    <row r="201" spans="2:66" ht="15" customHeight="1" thickTop="1">
      <c r="B201" s="1194" t="s">
        <v>387</v>
      </c>
      <c r="C201" s="1195"/>
      <c r="D201" s="1196"/>
      <c r="E201" s="1196"/>
      <c r="F201" s="1196"/>
      <c r="G201" s="1196"/>
      <c r="H201" s="1196"/>
      <c r="I201" s="1196"/>
      <c r="J201" s="1196"/>
      <c r="K201" s="1196"/>
      <c r="L201" s="1197"/>
      <c r="M201" s="1842">
        <f>SUM(C201:L201)</f>
        <v>0</v>
      </c>
      <c r="N201" s="1845">
        <f>SUM(C202:L202)</f>
        <v>0</v>
      </c>
      <c r="O201" s="1845">
        <f>SUM(C203:L203)</f>
        <v>0</v>
      </c>
      <c r="P201" s="1848">
        <f>SUM(C204:L204)</f>
        <v>0</v>
      </c>
      <c r="Q201" s="1851" t="str">
        <f>IF(G178="","",SUM(N201:P205))</f>
        <v/>
      </c>
      <c r="R201" s="1839"/>
      <c r="S201" s="1839"/>
      <c r="T201" s="1839"/>
      <c r="U201" s="1839"/>
      <c r="V201" s="1836" t="s">
        <v>395</v>
      </c>
      <c r="X201" s="1194" t="s">
        <v>387</v>
      </c>
      <c r="Y201" s="1195"/>
      <c r="Z201" s="1196"/>
      <c r="AA201" s="1196"/>
      <c r="AB201" s="1196"/>
      <c r="AC201" s="1196"/>
      <c r="AD201" s="1196"/>
      <c r="AE201" s="1196"/>
      <c r="AF201" s="1196"/>
      <c r="AG201" s="1196"/>
      <c r="AH201" s="1197"/>
      <c r="AI201" s="1842">
        <f>SUM(Y201:AH201)</f>
        <v>0</v>
      </c>
      <c r="AJ201" s="1845">
        <f>SUM(Y202:AH202)</f>
        <v>0</v>
      </c>
      <c r="AK201" s="1845">
        <f>SUM(Y203:AH203)</f>
        <v>0</v>
      </c>
      <c r="AL201" s="1848">
        <f>SUM(Y204:AH204)</f>
        <v>0</v>
      </c>
      <c r="AM201" s="1851" t="str">
        <f>IF(AC178="","",SUM(AJ201:AL205))</f>
        <v/>
      </c>
      <c r="AN201" s="1839"/>
      <c r="AO201" s="1839"/>
      <c r="AP201" s="1839"/>
      <c r="AQ201" s="1839"/>
      <c r="AR201" s="1836" t="s">
        <v>395</v>
      </c>
      <c r="AT201" s="1194" t="s">
        <v>387</v>
      </c>
      <c r="AU201" s="1195"/>
      <c r="AV201" s="1196"/>
      <c r="AW201" s="1196"/>
      <c r="AX201" s="1196"/>
      <c r="AY201" s="1196"/>
      <c r="AZ201" s="1196"/>
      <c r="BA201" s="1196"/>
      <c r="BB201" s="1196"/>
      <c r="BC201" s="1196"/>
      <c r="BD201" s="1197"/>
      <c r="BE201" s="1842">
        <f>SUM(AU201:BD201)</f>
        <v>0</v>
      </c>
      <c r="BF201" s="1845">
        <f>SUM(AU202:BD202)</f>
        <v>0</v>
      </c>
      <c r="BG201" s="1845">
        <f>SUM(AU203:BD203)</f>
        <v>0</v>
      </c>
      <c r="BH201" s="1848">
        <f>SUM(AU204:BD204)</f>
        <v>0</v>
      </c>
      <c r="BI201" s="1851" t="str">
        <f>IF(AY178="","",SUM(BF201:BH205))</f>
        <v/>
      </c>
      <c r="BJ201" s="1839"/>
      <c r="BK201" s="1839"/>
      <c r="BL201" s="1839"/>
      <c r="BM201" s="1839"/>
      <c r="BN201" s="1836" t="s">
        <v>395</v>
      </c>
    </row>
    <row r="202" spans="2:66" ht="13.5">
      <c r="B202" s="1198" t="s">
        <v>383</v>
      </c>
      <c r="C202" s="1199"/>
      <c r="D202" s="1200"/>
      <c r="E202" s="1200"/>
      <c r="F202" s="1200"/>
      <c r="G202" s="1200"/>
      <c r="H202" s="1200"/>
      <c r="I202" s="1200"/>
      <c r="J202" s="1200"/>
      <c r="K202" s="1200"/>
      <c r="L202" s="1201"/>
      <c r="M202" s="1843"/>
      <c r="N202" s="1846"/>
      <c r="O202" s="1846"/>
      <c r="P202" s="1849"/>
      <c r="Q202" s="1852"/>
      <c r="R202" s="1840"/>
      <c r="S202" s="1840"/>
      <c r="T202" s="1840"/>
      <c r="U202" s="1840"/>
      <c r="V202" s="1837"/>
      <c r="X202" s="1198" t="s">
        <v>383</v>
      </c>
      <c r="Y202" s="1199"/>
      <c r="Z202" s="1200"/>
      <c r="AA202" s="1200"/>
      <c r="AB202" s="1200"/>
      <c r="AC202" s="1200"/>
      <c r="AD202" s="1200"/>
      <c r="AE202" s="1200"/>
      <c r="AF202" s="1200"/>
      <c r="AG202" s="1200"/>
      <c r="AH202" s="1201"/>
      <c r="AI202" s="1843"/>
      <c r="AJ202" s="1846"/>
      <c r="AK202" s="1846"/>
      <c r="AL202" s="1849"/>
      <c r="AM202" s="1852"/>
      <c r="AN202" s="1840"/>
      <c r="AO202" s="1840"/>
      <c r="AP202" s="1840"/>
      <c r="AQ202" s="1840"/>
      <c r="AR202" s="1837"/>
      <c r="AT202" s="1198" t="s">
        <v>383</v>
      </c>
      <c r="AU202" s="1199"/>
      <c r="AV202" s="1200"/>
      <c r="AW202" s="1200"/>
      <c r="AX202" s="1200"/>
      <c r="AY202" s="1200"/>
      <c r="AZ202" s="1200"/>
      <c r="BA202" s="1200"/>
      <c r="BB202" s="1200"/>
      <c r="BC202" s="1200"/>
      <c r="BD202" s="1201"/>
      <c r="BE202" s="1843"/>
      <c r="BF202" s="1846"/>
      <c r="BG202" s="1846"/>
      <c r="BH202" s="1849"/>
      <c r="BI202" s="1852"/>
      <c r="BJ202" s="1840"/>
      <c r="BK202" s="1840"/>
      <c r="BL202" s="1840"/>
      <c r="BM202" s="1840"/>
      <c r="BN202" s="1837"/>
    </row>
    <row r="203" spans="2:66" ht="13.5">
      <c r="B203" s="1202" t="s">
        <v>384</v>
      </c>
      <c r="C203" s="1203"/>
      <c r="D203" s="1204"/>
      <c r="E203" s="1204"/>
      <c r="F203" s="1204"/>
      <c r="G203" s="1204"/>
      <c r="H203" s="1204"/>
      <c r="I203" s="1204"/>
      <c r="J203" s="1204"/>
      <c r="K203" s="1204"/>
      <c r="L203" s="1205"/>
      <c r="M203" s="1843"/>
      <c r="N203" s="1846"/>
      <c r="O203" s="1846"/>
      <c r="P203" s="1849"/>
      <c r="Q203" s="1852"/>
      <c r="R203" s="1840"/>
      <c r="S203" s="1840"/>
      <c r="T203" s="1840"/>
      <c r="U203" s="1840"/>
      <c r="V203" s="1837"/>
      <c r="X203" s="1202" t="s">
        <v>384</v>
      </c>
      <c r="Y203" s="1203"/>
      <c r="Z203" s="1204"/>
      <c r="AA203" s="1204"/>
      <c r="AB203" s="1204"/>
      <c r="AC203" s="1204"/>
      <c r="AD203" s="1204"/>
      <c r="AE203" s="1204"/>
      <c r="AF203" s="1204"/>
      <c r="AG203" s="1204"/>
      <c r="AH203" s="1205"/>
      <c r="AI203" s="1843"/>
      <c r="AJ203" s="1846"/>
      <c r="AK203" s="1846"/>
      <c r="AL203" s="1849"/>
      <c r="AM203" s="1852"/>
      <c r="AN203" s="1840"/>
      <c r="AO203" s="1840"/>
      <c r="AP203" s="1840"/>
      <c r="AQ203" s="1840"/>
      <c r="AR203" s="1837"/>
      <c r="AT203" s="1202" t="s">
        <v>384</v>
      </c>
      <c r="AU203" s="1203"/>
      <c r="AV203" s="1204"/>
      <c r="AW203" s="1204"/>
      <c r="AX203" s="1204"/>
      <c r="AY203" s="1204"/>
      <c r="AZ203" s="1204"/>
      <c r="BA203" s="1204"/>
      <c r="BB203" s="1204"/>
      <c r="BC203" s="1204"/>
      <c r="BD203" s="1205"/>
      <c r="BE203" s="1843"/>
      <c r="BF203" s="1846"/>
      <c r="BG203" s="1846"/>
      <c r="BH203" s="1849"/>
      <c r="BI203" s="1852"/>
      <c r="BJ203" s="1840"/>
      <c r="BK203" s="1840"/>
      <c r="BL203" s="1840"/>
      <c r="BM203" s="1840"/>
      <c r="BN203" s="1837"/>
    </row>
    <row r="204" spans="2:66" ht="13.5">
      <c r="B204" s="1206" t="s">
        <v>385</v>
      </c>
      <c r="C204" s="1207"/>
      <c r="D204" s="1208"/>
      <c r="E204" s="1208"/>
      <c r="F204" s="1208"/>
      <c r="G204" s="1208"/>
      <c r="H204" s="1208"/>
      <c r="I204" s="1208"/>
      <c r="J204" s="1208"/>
      <c r="K204" s="1208"/>
      <c r="L204" s="1209"/>
      <c r="M204" s="1843"/>
      <c r="N204" s="1846"/>
      <c r="O204" s="1846"/>
      <c r="P204" s="1849"/>
      <c r="Q204" s="1852"/>
      <c r="R204" s="1840"/>
      <c r="S204" s="1840"/>
      <c r="T204" s="1840"/>
      <c r="U204" s="1840"/>
      <c r="V204" s="1837"/>
      <c r="X204" s="1206" t="s">
        <v>385</v>
      </c>
      <c r="Y204" s="1207"/>
      <c r="Z204" s="1208"/>
      <c r="AA204" s="1208"/>
      <c r="AB204" s="1208"/>
      <c r="AC204" s="1208"/>
      <c r="AD204" s="1208"/>
      <c r="AE204" s="1208"/>
      <c r="AF204" s="1208"/>
      <c r="AG204" s="1208"/>
      <c r="AH204" s="1209"/>
      <c r="AI204" s="1843"/>
      <c r="AJ204" s="1846"/>
      <c r="AK204" s="1846"/>
      <c r="AL204" s="1849"/>
      <c r="AM204" s="1852"/>
      <c r="AN204" s="1840"/>
      <c r="AO204" s="1840"/>
      <c r="AP204" s="1840"/>
      <c r="AQ204" s="1840"/>
      <c r="AR204" s="1837"/>
      <c r="AT204" s="1206" t="s">
        <v>385</v>
      </c>
      <c r="AU204" s="1207"/>
      <c r="AV204" s="1208"/>
      <c r="AW204" s="1208"/>
      <c r="AX204" s="1208"/>
      <c r="AY204" s="1208"/>
      <c r="AZ204" s="1208"/>
      <c r="BA204" s="1208"/>
      <c r="BB204" s="1208"/>
      <c r="BC204" s="1208"/>
      <c r="BD204" s="1209"/>
      <c r="BE204" s="1843"/>
      <c r="BF204" s="1846"/>
      <c r="BG204" s="1846"/>
      <c r="BH204" s="1849"/>
      <c r="BI204" s="1852"/>
      <c r="BJ204" s="1840"/>
      <c r="BK204" s="1840"/>
      <c r="BL204" s="1840"/>
      <c r="BM204" s="1840"/>
      <c r="BN204" s="1837"/>
    </row>
    <row r="205" spans="2:66" ht="13.5">
      <c r="B205" s="1215" t="s">
        <v>388</v>
      </c>
      <c r="C205" s="1223" t="str">
        <f>IF(OR(C202&gt;0,C203&gt;0,C204&gt;0),1,"")</f>
        <v/>
      </c>
      <c r="D205" s="1224" t="str">
        <f>IF(OR(D202&gt;0,D203&gt;0,D204&gt;0),1,"")</f>
        <v/>
      </c>
      <c r="E205" s="1224" t="str">
        <f t="shared" ref="E205:L205" si="102">IF(OR(E202&gt;0,E203&gt;0,E204&gt;0),1,"")</f>
        <v/>
      </c>
      <c r="F205" s="1224" t="str">
        <f t="shared" si="102"/>
        <v/>
      </c>
      <c r="G205" s="1224" t="str">
        <f t="shared" si="102"/>
        <v/>
      </c>
      <c r="H205" s="1224" t="str">
        <f t="shared" si="102"/>
        <v/>
      </c>
      <c r="I205" s="1224" t="str">
        <f t="shared" si="102"/>
        <v/>
      </c>
      <c r="J205" s="1224" t="str">
        <f t="shared" si="102"/>
        <v/>
      </c>
      <c r="K205" s="1224" t="str">
        <f t="shared" si="102"/>
        <v/>
      </c>
      <c r="L205" s="1225" t="str">
        <f t="shared" si="102"/>
        <v/>
      </c>
      <c r="M205" s="1844"/>
      <c r="N205" s="1847"/>
      <c r="O205" s="1847"/>
      <c r="P205" s="1850"/>
      <c r="Q205" s="1853"/>
      <c r="R205" s="1841"/>
      <c r="S205" s="1841"/>
      <c r="T205" s="1841"/>
      <c r="U205" s="1841"/>
      <c r="V205" s="1838"/>
      <c r="X205" s="1215" t="s">
        <v>388</v>
      </c>
      <c r="Y205" s="1223" t="str">
        <f>IF(OR(Y202&gt;0,Y203&gt;0,Y204&gt;0),1,"")</f>
        <v/>
      </c>
      <c r="Z205" s="1224" t="str">
        <f>IF(OR(Z202&gt;0,Z203&gt;0,Z204&gt;0),1,"")</f>
        <v/>
      </c>
      <c r="AA205" s="1224" t="str">
        <f t="shared" ref="AA205:AH205" si="103">IF(OR(AA202&gt;0,AA203&gt;0,AA204&gt;0),1,"")</f>
        <v/>
      </c>
      <c r="AB205" s="1224" t="str">
        <f t="shared" si="103"/>
        <v/>
      </c>
      <c r="AC205" s="1224" t="str">
        <f t="shared" si="103"/>
        <v/>
      </c>
      <c r="AD205" s="1224" t="str">
        <f t="shared" si="103"/>
        <v/>
      </c>
      <c r="AE205" s="1224" t="str">
        <f t="shared" si="103"/>
        <v/>
      </c>
      <c r="AF205" s="1224" t="str">
        <f t="shared" si="103"/>
        <v/>
      </c>
      <c r="AG205" s="1224" t="str">
        <f t="shared" si="103"/>
        <v/>
      </c>
      <c r="AH205" s="1225" t="str">
        <f t="shared" si="103"/>
        <v/>
      </c>
      <c r="AI205" s="1844"/>
      <c r="AJ205" s="1847"/>
      <c r="AK205" s="1847"/>
      <c r="AL205" s="1850"/>
      <c r="AM205" s="1853"/>
      <c r="AN205" s="1841"/>
      <c r="AO205" s="1841"/>
      <c r="AP205" s="1841"/>
      <c r="AQ205" s="1841"/>
      <c r="AR205" s="1838"/>
      <c r="AT205" s="1215" t="s">
        <v>388</v>
      </c>
      <c r="AU205" s="1223" t="str">
        <f>IF(OR(AU202&gt;0,AU203&gt;0,AU204&gt;0),1,"")</f>
        <v/>
      </c>
      <c r="AV205" s="1224" t="str">
        <f>IF(OR(AV202&gt;0,AV203&gt;0,AV204&gt;0),1,"")</f>
        <v/>
      </c>
      <c r="AW205" s="1224" t="str">
        <f t="shared" ref="AW205:BD205" si="104">IF(OR(AW202&gt;0,AW203&gt;0,AW204&gt;0),1,"")</f>
        <v/>
      </c>
      <c r="AX205" s="1224" t="str">
        <f t="shared" si="104"/>
        <v/>
      </c>
      <c r="AY205" s="1224" t="str">
        <f t="shared" si="104"/>
        <v/>
      </c>
      <c r="AZ205" s="1224" t="str">
        <f t="shared" si="104"/>
        <v/>
      </c>
      <c r="BA205" s="1224" t="str">
        <f t="shared" si="104"/>
        <v/>
      </c>
      <c r="BB205" s="1224" t="str">
        <f t="shared" si="104"/>
        <v/>
      </c>
      <c r="BC205" s="1224" t="str">
        <f t="shared" si="104"/>
        <v/>
      </c>
      <c r="BD205" s="1225" t="str">
        <f t="shared" si="104"/>
        <v/>
      </c>
      <c r="BE205" s="1844"/>
      <c r="BF205" s="1847"/>
      <c r="BG205" s="1847"/>
      <c r="BH205" s="1850"/>
      <c r="BI205" s="1853"/>
      <c r="BJ205" s="1841"/>
      <c r="BK205" s="1841"/>
      <c r="BL205" s="1841"/>
      <c r="BM205" s="1841"/>
      <c r="BN205" s="1838"/>
    </row>
    <row r="207" spans="2:66">
      <c r="B207" s="1175"/>
      <c r="C207" s="1176" t="s">
        <v>401</v>
      </c>
      <c r="D207" s="1217" t="s">
        <v>396</v>
      </c>
      <c r="E207" s="1177"/>
      <c r="F207" s="1177" t="s">
        <v>373</v>
      </c>
      <c r="G207" s="1178"/>
      <c r="H207" s="1167"/>
      <c r="I207" s="1167"/>
      <c r="J207" s="1179" t="s">
        <v>374</v>
      </c>
      <c r="K207" s="1165"/>
      <c r="L207" s="1165"/>
      <c r="M207" s="1165"/>
      <c r="N207" s="1165"/>
      <c r="O207" s="1165"/>
      <c r="P207" s="1165"/>
      <c r="Q207" s="1165"/>
      <c r="R207" s="1165"/>
      <c r="S207" s="1165"/>
      <c r="T207" s="1165"/>
      <c r="U207" s="1165"/>
      <c r="V207" s="1165"/>
      <c r="X207" s="1175"/>
      <c r="Y207" s="1176" t="s">
        <v>401</v>
      </c>
      <c r="Z207" s="1217" t="s">
        <v>413</v>
      </c>
      <c r="AA207" s="1177"/>
      <c r="AB207" s="1177" t="s">
        <v>373</v>
      </c>
      <c r="AC207" s="1178"/>
      <c r="AD207" s="1167"/>
      <c r="AE207" s="1167"/>
      <c r="AF207" s="1179" t="s">
        <v>374</v>
      </c>
      <c r="AG207" s="1165"/>
      <c r="AH207" s="1165"/>
      <c r="AI207" s="1165"/>
      <c r="AJ207" s="1165"/>
      <c r="AK207" s="1165"/>
      <c r="AL207" s="1165"/>
      <c r="AM207" s="1165"/>
      <c r="AN207" s="1165"/>
      <c r="AO207" s="1165"/>
      <c r="AP207" s="1165"/>
      <c r="AQ207" s="1165"/>
      <c r="AR207" s="1165"/>
      <c r="AT207" s="1175"/>
      <c r="AU207" s="1176" t="s">
        <v>401</v>
      </c>
      <c r="AV207" s="1217" t="s">
        <v>409</v>
      </c>
      <c r="AW207" s="1177"/>
      <c r="AX207" s="1177" t="s">
        <v>373</v>
      </c>
      <c r="AY207" s="1178"/>
      <c r="AZ207" s="1167"/>
      <c r="BA207" s="1167"/>
      <c r="BB207" s="1179" t="s">
        <v>374</v>
      </c>
      <c r="BC207" s="1165"/>
      <c r="BD207" s="1165"/>
      <c r="BE207" s="1165"/>
      <c r="BF207" s="1165"/>
      <c r="BG207" s="1165"/>
      <c r="BH207" s="1165"/>
      <c r="BI207" s="1165"/>
      <c r="BJ207" s="1165"/>
      <c r="BK207" s="1165"/>
      <c r="BL207" s="1165"/>
      <c r="BM207" s="1165"/>
      <c r="BN207" s="1165"/>
    </row>
    <row r="208" spans="2:66" ht="15.75" customHeight="1">
      <c r="B208" s="1180" t="s">
        <v>375</v>
      </c>
      <c r="C208" s="1181"/>
      <c r="D208" s="1220" t="e">
        <f>IF(J208="",#N/A,SUM(C214:L214,C219:L219,C224:L224,C229:L229,C234:L234))</f>
        <v>#N/A</v>
      </c>
      <c r="E208" s="1183" t="s">
        <v>376</v>
      </c>
      <c r="F208" s="1184" t="s">
        <v>377</v>
      </c>
      <c r="G208" s="1181"/>
      <c r="H208" s="1182" t="s">
        <v>378</v>
      </c>
      <c r="I208" s="1181"/>
      <c r="J208" s="1220" t="str">
        <f>IF(AND(Q210="",Q215="",Q220="",Q225="",Q230=""),"",SUM(Q210:Q233))</f>
        <v/>
      </c>
      <c r="K208" s="1183" t="s">
        <v>379</v>
      </c>
      <c r="L208" s="1185" t="s">
        <v>377</v>
      </c>
      <c r="M208" s="1866" t="s">
        <v>380</v>
      </c>
      <c r="N208" s="1867"/>
      <c r="O208" s="1867"/>
      <c r="P208" s="1867"/>
      <c r="Q208" s="1868"/>
      <c r="R208" s="1869" t="s">
        <v>389</v>
      </c>
      <c r="S208" s="1869" t="s">
        <v>390</v>
      </c>
      <c r="T208" s="1869" t="s">
        <v>391</v>
      </c>
      <c r="U208" s="1869" t="s">
        <v>392</v>
      </c>
      <c r="V208" s="1871" t="s">
        <v>393</v>
      </c>
      <c r="X208" s="1180" t="s">
        <v>375</v>
      </c>
      <c r="Y208" s="1181"/>
      <c r="Z208" s="1220" t="e">
        <f>IF(AF208="",#N/A,SUM(Y214:AH214,Y219:AH219,Y224:AH224,Y229:AH229,Y234:AH234))</f>
        <v>#N/A</v>
      </c>
      <c r="AA208" s="1183" t="s">
        <v>376</v>
      </c>
      <c r="AB208" s="1184" t="s">
        <v>377</v>
      </c>
      <c r="AC208" s="1181"/>
      <c r="AD208" s="1182" t="s">
        <v>378</v>
      </c>
      <c r="AE208" s="1181"/>
      <c r="AF208" s="1220" t="str">
        <f>IF(AND(AM210="",AM215="",AM220="",AM225="",AM230=""),"",SUM(AM210:AM233))</f>
        <v/>
      </c>
      <c r="AG208" s="1183" t="s">
        <v>379</v>
      </c>
      <c r="AH208" s="1185" t="s">
        <v>377</v>
      </c>
      <c r="AI208" s="1866" t="s">
        <v>380</v>
      </c>
      <c r="AJ208" s="1867"/>
      <c r="AK208" s="1867"/>
      <c r="AL208" s="1867"/>
      <c r="AM208" s="1868"/>
      <c r="AN208" s="1869" t="s">
        <v>389</v>
      </c>
      <c r="AO208" s="1869" t="s">
        <v>390</v>
      </c>
      <c r="AP208" s="1869" t="s">
        <v>391</v>
      </c>
      <c r="AQ208" s="1869" t="s">
        <v>392</v>
      </c>
      <c r="AR208" s="1871" t="s">
        <v>393</v>
      </c>
      <c r="AT208" s="1180" t="s">
        <v>375</v>
      </c>
      <c r="AU208" s="1181"/>
      <c r="AV208" s="1220" t="e">
        <f>IF(BB208="",#N/A,SUM(AU214:BD214,AU219:BD219,AU224:BD224,AU229:BD229,AU234:BD234))</f>
        <v>#N/A</v>
      </c>
      <c r="AW208" s="1183" t="s">
        <v>376</v>
      </c>
      <c r="AX208" s="1184" t="s">
        <v>377</v>
      </c>
      <c r="AY208" s="1181"/>
      <c r="AZ208" s="1182" t="s">
        <v>378</v>
      </c>
      <c r="BA208" s="1181"/>
      <c r="BB208" s="1220" t="str">
        <f>IF(AND(BI210="",BI215="",BI220="",BI225="",BI230=""),"",SUM(BI210:BI233))</f>
        <v/>
      </c>
      <c r="BC208" s="1183" t="s">
        <v>379</v>
      </c>
      <c r="BD208" s="1185" t="s">
        <v>377</v>
      </c>
      <c r="BE208" s="1866" t="s">
        <v>380</v>
      </c>
      <c r="BF208" s="1867"/>
      <c r="BG208" s="1867"/>
      <c r="BH208" s="1867"/>
      <c r="BI208" s="1868"/>
      <c r="BJ208" s="1869" t="s">
        <v>389</v>
      </c>
      <c r="BK208" s="1869" t="s">
        <v>390</v>
      </c>
      <c r="BL208" s="1869" t="s">
        <v>391</v>
      </c>
      <c r="BM208" s="1869" t="s">
        <v>392</v>
      </c>
      <c r="BN208" s="1871" t="s">
        <v>393</v>
      </c>
    </row>
    <row r="209" spans="2:66" ht="13.5">
      <c r="B209" s="1186" t="s">
        <v>381</v>
      </c>
      <c r="C209" s="1187">
        <v>1</v>
      </c>
      <c r="D209" s="1218">
        <v>2</v>
      </c>
      <c r="E209" s="1188">
        <v>3</v>
      </c>
      <c r="F209" s="1188">
        <v>4</v>
      </c>
      <c r="G209" s="1188">
        <v>5</v>
      </c>
      <c r="H209" s="1188">
        <v>6</v>
      </c>
      <c r="I209" s="1218">
        <v>7</v>
      </c>
      <c r="J209" s="1218">
        <v>8</v>
      </c>
      <c r="K209" s="1218">
        <v>9</v>
      </c>
      <c r="L209" s="1219">
        <v>10</v>
      </c>
      <c r="M209" s="1189" t="s">
        <v>382</v>
      </c>
      <c r="N209" s="1190" t="s">
        <v>383</v>
      </c>
      <c r="O209" s="1191" t="s">
        <v>384</v>
      </c>
      <c r="P209" s="1192" t="s">
        <v>385</v>
      </c>
      <c r="Q209" s="1193" t="s">
        <v>386</v>
      </c>
      <c r="R209" s="1870"/>
      <c r="S209" s="1870"/>
      <c r="T209" s="1870"/>
      <c r="U209" s="1870"/>
      <c r="V209" s="1872"/>
      <c r="X209" s="1186" t="s">
        <v>381</v>
      </c>
      <c r="Y209" s="1187">
        <v>1</v>
      </c>
      <c r="Z209" s="1218">
        <v>2</v>
      </c>
      <c r="AA209" s="1188">
        <v>3</v>
      </c>
      <c r="AB209" s="1188">
        <v>4</v>
      </c>
      <c r="AC209" s="1188">
        <v>5</v>
      </c>
      <c r="AD209" s="1188">
        <v>6</v>
      </c>
      <c r="AE209" s="1218">
        <v>7</v>
      </c>
      <c r="AF209" s="1218">
        <v>8</v>
      </c>
      <c r="AG209" s="1218">
        <v>9</v>
      </c>
      <c r="AH209" s="1219">
        <v>10</v>
      </c>
      <c r="AI209" s="1189" t="s">
        <v>382</v>
      </c>
      <c r="AJ209" s="1190" t="s">
        <v>383</v>
      </c>
      <c r="AK209" s="1191" t="s">
        <v>384</v>
      </c>
      <c r="AL209" s="1192" t="s">
        <v>385</v>
      </c>
      <c r="AM209" s="1193" t="s">
        <v>386</v>
      </c>
      <c r="AN209" s="1870"/>
      <c r="AO209" s="1870"/>
      <c r="AP209" s="1870"/>
      <c r="AQ209" s="1870"/>
      <c r="AR209" s="1872"/>
      <c r="AT209" s="1186" t="s">
        <v>381</v>
      </c>
      <c r="AU209" s="1187">
        <v>1</v>
      </c>
      <c r="AV209" s="1218">
        <v>2</v>
      </c>
      <c r="AW209" s="1188">
        <v>3</v>
      </c>
      <c r="AX209" s="1188">
        <v>4</v>
      </c>
      <c r="AY209" s="1188">
        <v>5</v>
      </c>
      <c r="AZ209" s="1188">
        <v>6</v>
      </c>
      <c r="BA209" s="1218">
        <v>7</v>
      </c>
      <c r="BB209" s="1218">
        <v>8</v>
      </c>
      <c r="BC209" s="1218">
        <v>9</v>
      </c>
      <c r="BD209" s="1219">
        <v>10</v>
      </c>
      <c r="BE209" s="1189" t="s">
        <v>382</v>
      </c>
      <c r="BF209" s="1190" t="s">
        <v>383</v>
      </c>
      <c r="BG209" s="1191" t="s">
        <v>384</v>
      </c>
      <c r="BH209" s="1192" t="s">
        <v>385</v>
      </c>
      <c r="BI209" s="1193" t="s">
        <v>386</v>
      </c>
      <c r="BJ209" s="1870"/>
      <c r="BK209" s="1870"/>
      <c r="BL209" s="1870"/>
      <c r="BM209" s="1870"/>
      <c r="BN209" s="1872"/>
    </row>
    <row r="210" spans="2:66" ht="14.25" customHeight="1">
      <c r="B210" s="1194" t="s">
        <v>387</v>
      </c>
      <c r="C210" s="1195"/>
      <c r="D210" s="1196"/>
      <c r="E210" s="1196"/>
      <c r="F210" s="1196"/>
      <c r="G210" s="1196"/>
      <c r="H210" s="1196"/>
      <c r="I210" s="1196"/>
      <c r="J210" s="1196"/>
      <c r="K210" s="1196"/>
      <c r="L210" s="1197"/>
      <c r="M210" s="1858">
        <f>SUM(C210:L210)</f>
        <v>0</v>
      </c>
      <c r="N210" s="1860">
        <f>SUM(C211:L211)</f>
        <v>0</v>
      </c>
      <c r="O210" s="1860">
        <f>SUM(C212:L212)</f>
        <v>0</v>
      </c>
      <c r="P210" s="1862">
        <f>SUM(C213:L213)</f>
        <v>0</v>
      </c>
      <c r="Q210" s="1854" t="str">
        <f>IF(G207="","",SUM(N210:P214))</f>
        <v/>
      </c>
      <c r="R210" s="1856"/>
      <c r="S210" s="1856"/>
      <c r="T210" s="1856"/>
      <c r="U210" s="1856"/>
      <c r="V210" s="1864" t="s">
        <v>394</v>
      </c>
      <c r="X210" s="1194" t="s">
        <v>387</v>
      </c>
      <c r="Y210" s="1195"/>
      <c r="Z210" s="1196"/>
      <c r="AA210" s="1196"/>
      <c r="AB210" s="1196"/>
      <c r="AC210" s="1196"/>
      <c r="AD210" s="1196"/>
      <c r="AE210" s="1196"/>
      <c r="AF210" s="1196"/>
      <c r="AG210" s="1196"/>
      <c r="AH210" s="1197"/>
      <c r="AI210" s="1858">
        <f>SUM(Y210:AH210)</f>
        <v>0</v>
      </c>
      <c r="AJ210" s="1860">
        <f>SUM(Y211:AH211)</f>
        <v>0</v>
      </c>
      <c r="AK210" s="1860">
        <f>SUM(Y212:AH212)</f>
        <v>0</v>
      </c>
      <c r="AL210" s="1862">
        <f>SUM(Y213:AH213)</f>
        <v>0</v>
      </c>
      <c r="AM210" s="1854" t="str">
        <f>IF(AC207="","",SUM(AJ210:AL214))</f>
        <v/>
      </c>
      <c r="AN210" s="1856"/>
      <c r="AO210" s="1856"/>
      <c r="AP210" s="1856"/>
      <c r="AQ210" s="1856"/>
      <c r="AR210" s="1864" t="s">
        <v>394</v>
      </c>
      <c r="AT210" s="1194" t="s">
        <v>387</v>
      </c>
      <c r="AU210" s="1195"/>
      <c r="AV210" s="1196"/>
      <c r="AW210" s="1196"/>
      <c r="AX210" s="1196"/>
      <c r="AY210" s="1196"/>
      <c r="AZ210" s="1196"/>
      <c r="BA210" s="1196"/>
      <c r="BB210" s="1196"/>
      <c r="BC210" s="1196"/>
      <c r="BD210" s="1197"/>
      <c r="BE210" s="1858">
        <f>SUM(AU210:BD210)</f>
        <v>0</v>
      </c>
      <c r="BF210" s="1860">
        <f>SUM(AU211:BD211)</f>
        <v>0</v>
      </c>
      <c r="BG210" s="1860">
        <f>SUM(AU212:BD212)</f>
        <v>0</v>
      </c>
      <c r="BH210" s="1862">
        <f>SUM(AU213:BD213)</f>
        <v>0</v>
      </c>
      <c r="BI210" s="1854" t="str">
        <f>IF(AY207="","",SUM(BF210:BH214))</f>
        <v/>
      </c>
      <c r="BJ210" s="1856"/>
      <c r="BK210" s="1856"/>
      <c r="BL210" s="1856"/>
      <c r="BM210" s="1856"/>
      <c r="BN210" s="1864" t="s">
        <v>394</v>
      </c>
    </row>
    <row r="211" spans="2:66" ht="13.5">
      <c r="B211" s="1198" t="s">
        <v>383</v>
      </c>
      <c r="C211" s="1199"/>
      <c r="D211" s="1200"/>
      <c r="E211" s="1200"/>
      <c r="F211" s="1200"/>
      <c r="G211" s="1200"/>
      <c r="H211" s="1200"/>
      <c r="I211" s="1200"/>
      <c r="J211" s="1200"/>
      <c r="K211" s="1200"/>
      <c r="L211" s="1201"/>
      <c r="M211" s="1843"/>
      <c r="N211" s="1846"/>
      <c r="O211" s="1846"/>
      <c r="P211" s="1849"/>
      <c r="Q211" s="1852"/>
      <c r="R211" s="1840"/>
      <c r="S211" s="1840"/>
      <c r="T211" s="1840"/>
      <c r="U211" s="1840"/>
      <c r="V211" s="1837"/>
      <c r="X211" s="1198" t="s">
        <v>383</v>
      </c>
      <c r="Y211" s="1199"/>
      <c r="Z211" s="1200"/>
      <c r="AA211" s="1200"/>
      <c r="AB211" s="1200"/>
      <c r="AC211" s="1200"/>
      <c r="AD211" s="1200"/>
      <c r="AE211" s="1200"/>
      <c r="AF211" s="1200"/>
      <c r="AG211" s="1200"/>
      <c r="AH211" s="1201"/>
      <c r="AI211" s="1843"/>
      <c r="AJ211" s="1846"/>
      <c r="AK211" s="1846"/>
      <c r="AL211" s="1849"/>
      <c r="AM211" s="1852"/>
      <c r="AN211" s="1840"/>
      <c r="AO211" s="1840"/>
      <c r="AP211" s="1840"/>
      <c r="AQ211" s="1840"/>
      <c r="AR211" s="1837"/>
      <c r="AT211" s="1198" t="s">
        <v>383</v>
      </c>
      <c r="AU211" s="1199"/>
      <c r="AV211" s="1200"/>
      <c r="AW211" s="1200"/>
      <c r="AX211" s="1200"/>
      <c r="AY211" s="1200"/>
      <c r="AZ211" s="1200"/>
      <c r="BA211" s="1200"/>
      <c r="BB211" s="1200"/>
      <c r="BC211" s="1200"/>
      <c r="BD211" s="1201"/>
      <c r="BE211" s="1843"/>
      <c r="BF211" s="1846"/>
      <c r="BG211" s="1846"/>
      <c r="BH211" s="1849"/>
      <c r="BI211" s="1852"/>
      <c r="BJ211" s="1840"/>
      <c r="BK211" s="1840"/>
      <c r="BL211" s="1840"/>
      <c r="BM211" s="1840"/>
      <c r="BN211" s="1837"/>
    </row>
    <row r="212" spans="2:66" ht="13.5">
      <c r="B212" s="1202" t="s">
        <v>384</v>
      </c>
      <c r="C212" s="1203"/>
      <c r="D212" s="1204"/>
      <c r="E212" s="1204"/>
      <c r="F212" s="1204"/>
      <c r="G212" s="1204"/>
      <c r="H212" s="1204"/>
      <c r="I212" s="1204"/>
      <c r="J212" s="1204"/>
      <c r="K212" s="1204"/>
      <c r="L212" s="1205"/>
      <c r="M212" s="1843"/>
      <c r="N212" s="1846"/>
      <c r="O212" s="1846"/>
      <c r="P212" s="1849"/>
      <c r="Q212" s="1852"/>
      <c r="R212" s="1840"/>
      <c r="S212" s="1840"/>
      <c r="T212" s="1840"/>
      <c r="U212" s="1840"/>
      <c r="V212" s="1837"/>
      <c r="X212" s="1202" t="s">
        <v>384</v>
      </c>
      <c r="Y212" s="1203"/>
      <c r="Z212" s="1204"/>
      <c r="AA212" s="1204"/>
      <c r="AB212" s="1204"/>
      <c r="AC212" s="1204"/>
      <c r="AD212" s="1204"/>
      <c r="AE212" s="1204"/>
      <c r="AF212" s="1204"/>
      <c r="AG212" s="1204"/>
      <c r="AH212" s="1205"/>
      <c r="AI212" s="1843"/>
      <c r="AJ212" s="1846"/>
      <c r="AK212" s="1846"/>
      <c r="AL212" s="1849"/>
      <c r="AM212" s="1852"/>
      <c r="AN212" s="1840"/>
      <c r="AO212" s="1840"/>
      <c r="AP212" s="1840"/>
      <c r="AQ212" s="1840"/>
      <c r="AR212" s="1837"/>
      <c r="AT212" s="1202" t="s">
        <v>384</v>
      </c>
      <c r="AU212" s="1203"/>
      <c r="AV212" s="1204"/>
      <c r="AW212" s="1204"/>
      <c r="AX212" s="1204"/>
      <c r="AY212" s="1204"/>
      <c r="AZ212" s="1204"/>
      <c r="BA212" s="1204"/>
      <c r="BB212" s="1204"/>
      <c r="BC212" s="1204"/>
      <c r="BD212" s="1205"/>
      <c r="BE212" s="1843"/>
      <c r="BF212" s="1846"/>
      <c r="BG212" s="1846"/>
      <c r="BH212" s="1849"/>
      <c r="BI212" s="1852"/>
      <c r="BJ212" s="1840"/>
      <c r="BK212" s="1840"/>
      <c r="BL212" s="1840"/>
      <c r="BM212" s="1840"/>
      <c r="BN212" s="1837"/>
    </row>
    <row r="213" spans="2:66" ht="13.5">
      <c r="B213" s="1206" t="s">
        <v>385</v>
      </c>
      <c r="C213" s="1207"/>
      <c r="D213" s="1208"/>
      <c r="E213" s="1208"/>
      <c r="F213" s="1208"/>
      <c r="G213" s="1208"/>
      <c r="H213" s="1208"/>
      <c r="I213" s="1208"/>
      <c r="J213" s="1208"/>
      <c r="K213" s="1208"/>
      <c r="L213" s="1209"/>
      <c r="M213" s="1843"/>
      <c r="N213" s="1846"/>
      <c r="O213" s="1846"/>
      <c r="P213" s="1849"/>
      <c r="Q213" s="1852"/>
      <c r="R213" s="1840"/>
      <c r="S213" s="1840"/>
      <c r="T213" s="1840"/>
      <c r="U213" s="1840"/>
      <c r="V213" s="1837"/>
      <c r="X213" s="1206" t="s">
        <v>385</v>
      </c>
      <c r="Y213" s="1207"/>
      <c r="Z213" s="1208"/>
      <c r="AA213" s="1208"/>
      <c r="AB213" s="1208"/>
      <c r="AC213" s="1208"/>
      <c r="AD213" s="1208"/>
      <c r="AE213" s="1208"/>
      <c r="AF213" s="1208"/>
      <c r="AG213" s="1208"/>
      <c r="AH213" s="1209"/>
      <c r="AI213" s="1843"/>
      <c r="AJ213" s="1846"/>
      <c r="AK213" s="1846"/>
      <c r="AL213" s="1849"/>
      <c r="AM213" s="1852"/>
      <c r="AN213" s="1840"/>
      <c r="AO213" s="1840"/>
      <c r="AP213" s="1840"/>
      <c r="AQ213" s="1840"/>
      <c r="AR213" s="1837"/>
      <c r="AT213" s="1206" t="s">
        <v>385</v>
      </c>
      <c r="AU213" s="1207"/>
      <c r="AV213" s="1208"/>
      <c r="AW213" s="1208"/>
      <c r="AX213" s="1208"/>
      <c r="AY213" s="1208"/>
      <c r="AZ213" s="1208"/>
      <c r="BA213" s="1208"/>
      <c r="BB213" s="1208"/>
      <c r="BC213" s="1208"/>
      <c r="BD213" s="1209"/>
      <c r="BE213" s="1843"/>
      <c r="BF213" s="1846"/>
      <c r="BG213" s="1846"/>
      <c r="BH213" s="1849"/>
      <c r="BI213" s="1852"/>
      <c r="BJ213" s="1840"/>
      <c r="BK213" s="1840"/>
      <c r="BL213" s="1840"/>
      <c r="BM213" s="1840"/>
      <c r="BN213" s="1837"/>
    </row>
    <row r="214" spans="2:66" ht="14" thickBot="1">
      <c r="B214" s="1210" t="s">
        <v>388</v>
      </c>
      <c r="C214" s="1221" t="str">
        <f>IF(OR(C211&gt;0,C212&gt;0,C213&gt;0),1,"")</f>
        <v/>
      </c>
      <c r="D214" s="1222" t="str">
        <f>IF(OR(D211&gt;0,D212&gt;0,D213&gt;0),1,"")</f>
        <v/>
      </c>
      <c r="E214" s="1222" t="str">
        <f t="shared" ref="E214:L214" si="105">IF(OR(E211&gt;0,E212&gt;0,E213&gt;0),1,"")</f>
        <v/>
      </c>
      <c r="F214" s="1222" t="str">
        <f t="shared" si="105"/>
        <v/>
      </c>
      <c r="G214" s="1222" t="str">
        <f t="shared" si="105"/>
        <v/>
      </c>
      <c r="H214" s="1222" t="str">
        <f t="shared" si="105"/>
        <v/>
      </c>
      <c r="I214" s="1222" t="str">
        <f t="shared" si="105"/>
        <v/>
      </c>
      <c r="J214" s="1222" t="str">
        <f t="shared" si="105"/>
        <v/>
      </c>
      <c r="K214" s="1222" t="str">
        <f t="shared" si="105"/>
        <v/>
      </c>
      <c r="L214" s="1222" t="str">
        <f t="shared" si="105"/>
        <v/>
      </c>
      <c r="M214" s="1859"/>
      <c r="N214" s="1861"/>
      <c r="O214" s="1861"/>
      <c r="P214" s="1863"/>
      <c r="Q214" s="1855"/>
      <c r="R214" s="1857"/>
      <c r="S214" s="1857"/>
      <c r="T214" s="1857"/>
      <c r="U214" s="1857"/>
      <c r="V214" s="1865"/>
      <c r="X214" s="1210" t="s">
        <v>388</v>
      </c>
      <c r="Y214" s="1221" t="str">
        <f>IF(OR(Y211&gt;0,Y212&gt;0,Y213&gt;0),1,"")</f>
        <v/>
      </c>
      <c r="Z214" s="1222" t="str">
        <f>IF(OR(Z211&gt;0,Z212&gt;0,Z213&gt;0),1,"")</f>
        <v/>
      </c>
      <c r="AA214" s="1222" t="str">
        <f t="shared" ref="AA214:AH214" si="106">IF(OR(AA211&gt;0,AA212&gt;0,AA213&gt;0),1,"")</f>
        <v/>
      </c>
      <c r="AB214" s="1222" t="str">
        <f t="shared" si="106"/>
        <v/>
      </c>
      <c r="AC214" s="1222" t="str">
        <f t="shared" si="106"/>
        <v/>
      </c>
      <c r="AD214" s="1222" t="str">
        <f t="shared" si="106"/>
        <v/>
      </c>
      <c r="AE214" s="1222" t="str">
        <f t="shared" si="106"/>
        <v/>
      </c>
      <c r="AF214" s="1222" t="str">
        <f t="shared" si="106"/>
        <v/>
      </c>
      <c r="AG214" s="1222" t="str">
        <f t="shared" si="106"/>
        <v/>
      </c>
      <c r="AH214" s="1222" t="str">
        <f t="shared" si="106"/>
        <v/>
      </c>
      <c r="AI214" s="1859"/>
      <c r="AJ214" s="1861"/>
      <c r="AK214" s="1861"/>
      <c r="AL214" s="1863"/>
      <c r="AM214" s="1855"/>
      <c r="AN214" s="1857"/>
      <c r="AO214" s="1857"/>
      <c r="AP214" s="1857"/>
      <c r="AQ214" s="1857"/>
      <c r="AR214" s="1865"/>
      <c r="AT214" s="1210" t="s">
        <v>388</v>
      </c>
      <c r="AU214" s="1221" t="str">
        <f>IF(OR(AU211&gt;0,AU212&gt;0,AU213&gt;0),1,"")</f>
        <v/>
      </c>
      <c r="AV214" s="1222" t="str">
        <f>IF(OR(AV211&gt;0,AV212&gt;0,AV213&gt;0),1,"")</f>
        <v/>
      </c>
      <c r="AW214" s="1222" t="str">
        <f t="shared" ref="AW214:BD214" si="107">IF(OR(AW211&gt;0,AW212&gt;0,AW213&gt;0),1,"")</f>
        <v/>
      </c>
      <c r="AX214" s="1222" t="str">
        <f t="shared" si="107"/>
        <v/>
      </c>
      <c r="AY214" s="1222" t="str">
        <f t="shared" si="107"/>
        <v/>
      </c>
      <c r="AZ214" s="1222" t="str">
        <f t="shared" si="107"/>
        <v/>
      </c>
      <c r="BA214" s="1222" t="str">
        <f t="shared" si="107"/>
        <v/>
      </c>
      <c r="BB214" s="1222" t="str">
        <f t="shared" si="107"/>
        <v/>
      </c>
      <c r="BC214" s="1222" t="str">
        <f t="shared" si="107"/>
        <v/>
      </c>
      <c r="BD214" s="1222" t="str">
        <f t="shared" si="107"/>
        <v/>
      </c>
      <c r="BE214" s="1859"/>
      <c r="BF214" s="1861"/>
      <c r="BG214" s="1861"/>
      <c r="BH214" s="1863"/>
      <c r="BI214" s="1855"/>
      <c r="BJ214" s="1857"/>
      <c r="BK214" s="1857"/>
      <c r="BL214" s="1857"/>
      <c r="BM214" s="1857"/>
      <c r="BN214" s="1865"/>
    </row>
    <row r="215" spans="2:66" ht="15" customHeight="1" thickTop="1">
      <c r="B215" s="1211" t="s">
        <v>387</v>
      </c>
      <c r="C215" s="1212"/>
      <c r="D215" s="1213"/>
      <c r="E215" s="1213"/>
      <c r="F215" s="1213"/>
      <c r="G215" s="1213"/>
      <c r="H215" s="1213"/>
      <c r="I215" s="1213"/>
      <c r="J215" s="1213"/>
      <c r="K215" s="1213"/>
      <c r="L215" s="1214"/>
      <c r="M215" s="1858">
        <f>SUM(C215:L215)</f>
        <v>0</v>
      </c>
      <c r="N215" s="1860">
        <f>SUM(C216:L216)</f>
        <v>0</v>
      </c>
      <c r="O215" s="1860">
        <f>SUM(C217:L217)</f>
        <v>0</v>
      </c>
      <c r="P215" s="1862">
        <f>SUM(C218:L218)</f>
        <v>0</v>
      </c>
      <c r="Q215" s="1854" t="str">
        <f>IF(G207="","",SUM(N215:P219))</f>
        <v/>
      </c>
      <c r="R215" s="1856"/>
      <c r="S215" s="1856"/>
      <c r="T215" s="1856"/>
      <c r="U215" s="1856"/>
      <c r="V215" s="1864" t="s">
        <v>395</v>
      </c>
      <c r="X215" s="1211" t="s">
        <v>387</v>
      </c>
      <c r="Y215" s="1212"/>
      <c r="Z215" s="1213"/>
      <c r="AA215" s="1213"/>
      <c r="AB215" s="1213"/>
      <c r="AC215" s="1213"/>
      <c r="AD215" s="1213"/>
      <c r="AE215" s="1213"/>
      <c r="AF215" s="1213"/>
      <c r="AG215" s="1213"/>
      <c r="AH215" s="1214"/>
      <c r="AI215" s="1858">
        <f>SUM(Y215:AH215)</f>
        <v>0</v>
      </c>
      <c r="AJ215" s="1860">
        <f>SUM(Y216:AH216)</f>
        <v>0</v>
      </c>
      <c r="AK215" s="1860">
        <f>SUM(Y217:AH217)</f>
        <v>0</v>
      </c>
      <c r="AL215" s="1862">
        <f>SUM(Y218:AH218)</f>
        <v>0</v>
      </c>
      <c r="AM215" s="1854" t="str">
        <f>IF(AC207="","",SUM(AJ215:AL219))</f>
        <v/>
      </c>
      <c r="AN215" s="1856"/>
      <c r="AO215" s="1856"/>
      <c r="AP215" s="1856"/>
      <c r="AQ215" s="1856"/>
      <c r="AR215" s="1864" t="s">
        <v>395</v>
      </c>
      <c r="AT215" s="1211" t="s">
        <v>387</v>
      </c>
      <c r="AU215" s="1212"/>
      <c r="AV215" s="1213"/>
      <c r="AW215" s="1213"/>
      <c r="AX215" s="1213"/>
      <c r="AY215" s="1213"/>
      <c r="AZ215" s="1213"/>
      <c r="BA215" s="1213"/>
      <c r="BB215" s="1213"/>
      <c r="BC215" s="1213"/>
      <c r="BD215" s="1214"/>
      <c r="BE215" s="1858">
        <f>SUM(AU215:BD215)</f>
        <v>0</v>
      </c>
      <c r="BF215" s="1860">
        <f>SUM(AU216:BD216)</f>
        <v>0</v>
      </c>
      <c r="BG215" s="1860">
        <f>SUM(AU217:BD217)</f>
        <v>0</v>
      </c>
      <c r="BH215" s="1862">
        <f>SUM(AU218:BD218)</f>
        <v>0</v>
      </c>
      <c r="BI215" s="1854" t="str">
        <f>IF(AY207="","",SUM(BF215:BH219))</f>
        <v/>
      </c>
      <c r="BJ215" s="1856"/>
      <c r="BK215" s="1856"/>
      <c r="BL215" s="1856"/>
      <c r="BM215" s="1856"/>
      <c r="BN215" s="1864" t="s">
        <v>395</v>
      </c>
    </row>
    <row r="216" spans="2:66" ht="13.5">
      <c r="B216" s="1198" t="s">
        <v>383</v>
      </c>
      <c r="C216" s="1199"/>
      <c r="D216" s="1200"/>
      <c r="E216" s="1200"/>
      <c r="F216" s="1200"/>
      <c r="G216" s="1200"/>
      <c r="H216" s="1200"/>
      <c r="I216" s="1200"/>
      <c r="J216" s="1200"/>
      <c r="K216" s="1200"/>
      <c r="L216" s="1201"/>
      <c r="M216" s="1843"/>
      <c r="N216" s="1846"/>
      <c r="O216" s="1846"/>
      <c r="P216" s="1849"/>
      <c r="Q216" s="1852"/>
      <c r="R216" s="1840"/>
      <c r="S216" s="1840"/>
      <c r="T216" s="1840"/>
      <c r="U216" s="1840"/>
      <c r="V216" s="1837"/>
      <c r="X216" s="1198" t="s">
        <v>383</v>
      </c>
      <c r="Y216" s="1199"/>
      <c r="Z216" s="1200"/>
      <c r="AA216" s="1200"/>
      <c r="AB216" s="1200"/>
      <c r="AC216" s="1200"/>
      <c r="AD216" s="1200"/>
      <c r="AE216" s="1200"/>
      <c r="AF216" s="1200"/>
      <c r="AG216" s="1200"/>
      <c r="AH216" s="1201"/>
      <c r="AI216" s="1843"/>
      <c r="AJ216" s="1846"/>
      <c r="AK216" s="1846"/>
      <c r="AL216" s="1849"/>
      <c r="AM216" s="1852"/>
      <c r="AN216" s="1840"/>
      <c r="AO216" s="1840"/>
      <c r="AP216" s="1840"/>
      <c r="AQ216" s="1840"/>
      <c r="AR216" s="1837"/>
      <c r="AT216" s="1198" t="s">
        <v>383</v>
      </c>
      <c r="AU216" s="1199"/>
      <c r="AV216" s="1200"/>
      <c r="AW216" s="1200"/>
      <c r="AX216" s="1200"/>
      <c r="AY216" s="1200"/>
      <c r="AZ216" s="1200"/>
      <c r="BA216" s="1200"/>
      <c r="BB216" s="1200"/>
      <c r="BC216" s="1200"/>
      <c r="BD216" s="1201"/>
      <c r="BE216" s="1843"/>
      <c r="BF216" s="1846"/>
      <c r="BG216" s="1846"/>
      <c r="BH216" s="1849"/>
      <c r="BI216" s="1852"/>
      <c r="BJ216" s="1840"/>
      <c r="BK216" s="1840"/>
      <c r="BL216" s="1840"/>
      <c r="BM216" s="1840"/>
      <c r="BN216" s="1837"/>
    </row>
    <row r="217" spans="2:66" ht="13.5">
      <c r="B217" s="1202" t="s">
        <v>384</v>
      </c>
      <c r="C217" s="1203"/>
      <c r="D217" s="1204"/>
      <c r="E217" s="1204"/>
      <c r="F217" s="1204"/>
      <c r="G217" s="1204"/>
      <c r="H217" s="1204"/>
      <c r="I217" s="1204"/>
      <c r="J217" s="1204"/>
      <c r="K217" s="1204"/>
      <c r="L217" s="1205"/>
      <c r="M217" s="1843"/>
      <c r="N217" s="1846"/>
      <c r="O217" s="1846"/>
      <c r="P217" s="1849"/>
      <c r="Q217" s="1852"/>
      <c r="R217" s="1840"/>
      <c r="S217" s="1840"/>
      <c r="T217" s="1840"/>
      <c r="U217" s="1840"/>
      <c r="V217" s="1837"/>
      <c r="X217" s="1202" t="s">
        <v>384</v>
      </c>
      <c r="Y217" s="1203"/>
      <c r="Z217" s="1204"/>
      <c r="AA217" s="1204"/>
      <c r="AB217" s="1204"/>
      <c r="AC217" s="1204"/>
      <c r="AD217" s="1204"/>
      <c r="AE217" s="1204"/>
      <c r="AF217" s="1204"/>
      <c r="AG217" s="1204"/>
      <c r="AH217" s="1205"/>
      <c r="AI217" s="1843"/>
      <c r="AJ217" s="1846"/>
      <c r="AK217" s="1846"/>
      <c r="AL217" s="1849"/>
      <c r="AM217" s="1852"/>
      <c r="AN217" s="1840"/>
      <c r="AO217" s="1840"/>
      <c r="AP217" s="1840"/>
      <c r="AQ217" s="1840"/>
      <c r="AR217" s="1837"/>
      <c r="AT217" s="1202" t="s">
        <v>384</v>
      </c>
      <c r="AU217" s="1203"/>
      <c r="AV217" s="1204"/>
      <c r="AW217" s="1204"/>
      <c r="AX217" s="1204"/>
      <c r="AY217" s="1204"/>
      <c r="AZ217" s="1204"/>
      <c r="BA217" s="1204"/>
      <c r="BB217" s="1204"/>
      <c r="BC217" s="1204"/>
      <c r="BD217" s="1205"/>
      <c r="BE217" s="1843"/>
      <c r="BF217" s="1846"/>
      <c r="BG217" s="1846"/>
      <c r="BH217" s="1849"/>
      <c r="BI217" s="1852"/>
      <c r="BJ217" s="1840"/>
      <c r="BK217" s="1840"/>
      <c r="BL217" s="1840"/>
      <c r="BM217" s="1840"/>
      <c r="BN217" s="1837"/>
    </row>
    <row r="218" spans="2:66" ht="13.5">
      <c r="B218" s="1202" t="s">
        <v>385</v>
      </c>
      <c r="C218" s="1203"/>
      <c r="D218" s="1204"/>
      <c r="E218" s="1204"/>
      <c r="F218" s="1204"/>
      <c r="G218" s="1204"/>
      <c r="H218" s="1204"/>
      <c r="I218" s="1204"/>
      <c r="J218" s="1204"/>
      <c r="K218" s="1204"/>
      <c r="L218" s="1205"/>
      <c r="M218" s="1843"/>
      <c r="N218" s="1846"/>
      <c r="O218" s="1846"/>
      <c r="P218" s="1849"/>
      <c r="Q218" s="1852"/>
      <c r="R218" s="1840"/>
      <c r="S218" s="1840"/>
      <c r="T218" s="1840"/>
      <c r="U218" s="1840"/>
      <c r="V218" s="1837"/>
      <c r="X218" s="1202" t="s">
        <v>385</v>
      </c>
      <c r="Y218" s="1203"/>
      <c r="Z218" s="1204"/>
      <c r="AA218" s="1204"/>
      <c r="AB218" s="1204"/>
      <c r="AC218" s="1204"/>
      <c r="AD218" s="1204"/>
      <c r="AE218" s="1204"/>
      <c r="AF218" s="1204"/>
      <c r="AG218" s="1204"/>
      <c r="AH218" s="1205"/>
      <c r="AI218" s="1843"/>
      <c r="AJ218" s="1846"/>
      <c r="AK218" s="1846"/>
      <c r="AL218" s="1849"/>
      <c r="AM218" s="1852"/>
      <c r="AN218" s="1840"/>
      <c r="AO218" s="1840"/>
      <c r="AP218" s="1840"/>
      <c r="AQ218" s="1840"/>
      <c r="AR218" s="1837"/>
      <c r="AT218" s="1202" t="s">
        <v>385</v>
      </c>
      <c r="AU218" s="1203"/>
      <c r="AV218" s="1204"/>
      <c r="AW218" s="1204"/>
      <c r="AX218" s="1204"/>
      <c r="AY218" s="1204"/>
      <c r="AZ218" s="1204"/>
      <c r="BA218" s="1204"/>
      <c r="BB218" s="1204"/>
      <c r="BC218" s="1204"/>
      <c r="BD218" s="1205"/>
      <c r="BE218" s="1843"/>
      <c r="BF218" s="1846"/>
      <c r="BG218" s="1846"/>
      <c r="BH218" s="1849"/>
      <c r="BI218" s="1852"/>
      <c r="BJ218" s="1840"/>
      <c r="BK218" s="1840"/>
      <c r="BL218" s="1840"/>
      <c r="BM218" s="1840"/>
      <c r="BN218" s="1837"/>
    </row>
    <row r="219" spans="2:66" ht="14" thickBot="1">
      <c r="B219" s="1210" t="s">
        <v>388</v>
      </c>
      <c r="C219" s="1221" t="str">
        <f>IF(OR(C216&gt;0,C217&gt;0,C218&gt;0),1,"")</f>
        <v/>
      </c>
      <c r="D219" s="1222" t="str">
        <f>IF(OR(D216&gt;0,D217&gt;0,D218&gt;0),1,"")</f>
        <v/>
      </c>
      <c r="E219" s="1222" t="str">
        <f t="shared" ref="E219:L219" si="108">IF(OR(E216&gt;0,E217&gt;0,E218&gt;0),1,"")</f>
        <v/>
      </c>
      <c r="F219" s="1222" t="str">
        <f t="shared" si="108"/>
        <v/>
      </c>
      <c r="G219" s="1222" t="str">
        <f t="shared" si="108"/>
        <v/>
      </c>
      <c r="H219" s="1222" t="str">
        <f t="shared" si="108"/>
        <v/>
      </c>
      <c r="I219" s="1222" t="str">
        <f t="shared" si="108"/>
        <v/>
      </c>
      <c r="J219" s="1222" t="str">
        <f t="shared" si="108"/>
        <v/>
      </c>
      <c r="K219" s="1222" t="str">
        <f t="shared" si="108"/>
        <v/>
      </c>
      <c r="L219" s="1222" t="str">
        <f t="shared" si="108"/>
        <v/>
      </c>
      <c r="M219" s="1859"/>
      <c r="N219" s="1861"/>
      <c r="O219" s="1861"/>
      <c r="P219" s="1863"/>
      <c r="Q219" s="1855"/>
      <c r="R219" s="1857"/>
      <c r="S219" s="1857"/>
      <c r="T219" s="1857"/>
      <c r="U219" s="1857"/>
      <c r="V219" s="1865"/>
      <c r="X219" s="1210" t="s">
        <v>388</v>
      </c>
      <c r="Y219" s="1221" t="str">
        <f>IF(OR(Y216&gt;0,Y217&gt;0,Y218&gt;0),1,"")</f>
        <v/>
      </c>
      <c r="Z219" s="1222" t="str">
        <f>IF(OR(Z216&gt;0,Z217&gt;0,Z218&gt;0),1,"")</f>
        <v/>
      </c>
      <c r="AA219" s="1222" t="str">
        <f t="shared" ref="AA219:AH219" si="109">IF(OR(AA216&gt;0,AA217&gt;0,AA218&gt;0),1,"")</f>
        <v/>
      </c>
      <c r="AB219" s="1222" t="str">
        <f t="shared" si="109"/>
        <v/>
      </c>
      <c r="AC219" s="1222" t="str">
        <f t="shared" si="109"/>
        <v/>
      </c>
      <c r="AD219" s="1222" t="str">
        <f t="shared" si="109"/>
        <v/>
      </c>
      <c r="AE219" s="1222" t="str">
        <f t="shared" si="109"/>
        <v/>
      </c>
      <c r="AF219" s="1222" t="str">
        <f t="shared" si="109"/>
        <v/>
      </c>
      <c r="AG219" s="1222" t="str">
        <f t="shared" si="109"/>
        <v/>
      </c>
      <c r="AH219" s="1222" t="str">
        <f t="shared" si="109"/>
        <v/>
      </c>
      <c r="AI219" s="1859"/>
      <c r="AJ219" s="1861"/>
      <c r="AK219" s="1861"/>
      <c r="AL219" s="1863"/>
      <c r="AM219" s="1855"/>
      <c r="AN219" s="1857"/>
      <c r="AO219" s="1857"/>
      <c r="AP219" s="1857"/>
      <c r="AQ219" s="1857"/>
      <c r="AR219" s="1865"/>
      <c r="AT219" s="1210" t="s">
        <v>388</v>
      </c>
      <c r="AU219" s="1221" t="str">
        <f>IF(OR(AU216&gt;0,AU217&gt;0,AU218&gt;0),1,"")</f>
        <v/>
      </c>
      <c r="AV219" s="1222" t="str">
        <f>IF(OR(AV216&gt;0,AV217&gt;0,AV218&gt;0),1,"")</f>
        <v/>
      </c>
      <c r="AW219" s="1222" t="str">
        <f t="shared" ref="AW219:BD219" si="110">IF(OR(AW216&gt;0,AW217&gt;0,AW218&gt;0),1,"")</f>
        <v/>
      </c>
      <c r="AX219" s="1222" t="str">
        <f t="shared" si="110"/>
        <v/>
      </c>
      <c r="AY219" s="1222" t="str">
        <f t="shared" si="110"/>
        <v/>
      </c>
      <c r="AZ219" s="1222" t="str">
        <f t="shared" si="110"/>
        <v/>
      </c>
      <c r="BA219" s="1222" t="str">
        <f t="shared" si="110"/>
        <v/>
      </c>
      <c r="BB219" s="1222" t="str">
        <f t="shared" si="110"/>
        <v/>
      </c>
      <c r="BC219" s="1222" t="str">
        <f t="shared" si="110"/>
        <v/>
      </c>
      <c r="BD219" s="1222" t="str">
        <f t="shared" si="110"/>
        <v/>
      </c>
      <c r="BE219" s="1859"/>
      <c r="BF219" s="1861"/>
      <c r="BG219" s="1861"/>
      <c r="BH219" s="1863"/>
      <c r="BI219" s="1855"/>
      <c r="BJ219" s="1857"/>
      <c r="BK219" s="1857"/>
      <c r="BL219" s="1857"/>
      <c r="BM219" s="1857"/>
      <c r="BN219" s="1865"/>
    </row>
    <row r="220" spans="2:66" ht="15" customHeight="1" thickTop="1">
      <c r="B220" s="1194" t="s">
        <v>387</v>
      </c>
      <c r="C220" s="1195"/>
      <c r="D220" s="1196"/>
      <c r="E220" s="1196"/>
      <c r="F220" s="1196"/>
      <c r="G220" s="1196"/>
      <c r="H220" s="1196"/>
      <c r="I220" s="1196"/>
      <c r="J220" s="1196"/>
      <c r="K220" s="1196"/>
      <c r="L220" s="1197"/>
      <c r="M220" s="1858">
        <f>SUM(C220:L220)</f>
        <v>0</v>
      </c>
      <c r="N220" s="1860">
        <f>SUM(C221:L221)</f>
        <v>0</v>
      </c>
      <c r="O220" s="1860">
        <f>SUM(C222:L222)</f>
        <v>0</v>
      </c>
      <c r="P220" s="1862">
        <f>SUM(C223:L223)</f>
        <v>0</v>
      </c>
      <c r="Q220" s="1854" t="str">
        <f>IF(G207="","",SUM(N220:P224))</f>
        <v/>
      </c>
      <c r="R220" s="1856"/>
      <c r="S220" s="1856"/>
      <c r="T220" s="1856"/>
      <c r="U220" s="1856"/>
      <c r="V220" s="1864" t="s">
        <v>395</v>
      </c>
      <c r="X220" s="1194" t="s">
        <v>387</v>
      </c>
      <c r="Y220" s="1195"/>
      <c r="Z220" s="1196"/>
      <c r="AA220" s="1196"/>
      <c r="AB220" s="1196"/>
      <c r="AC220" s="1196"/>
      <c r="AD220" s="1196"/>
      <c r="AE220" s="1196"/>
      <c r="AF220" s="1196"/>
      <c r="AG220" s="1196"/>
      <c r="AH220" s="1197"/>
      <c r="AI220" s="1858">
        <f>SUM(Y220:AH220)</f>
        <v>0</v>
      </c>
      <c r="AJ220" s="1860">
        <f>SUM(Y221:AH221)</f>
        <v>0</v>
      </c>
      <c r="AK220" s="1860">
        <f>SUM(Y222:AH222)</f>
        <v>0</v>
      </c>
      <c r="AL220" s="1862">
        <f>SUM(Y223:AH223)</f>
        <v>0</v>
      </c>
      <c r="AM220" s="1854" t="str">
        <f>IF(AC207="","",SUM(AJ220:AL224))</f>
        <v/>
      </c>
      <c r="AN220" s="1856"/>
      <c r="AO220" s="1856"/>
      <c r="AP220" s="1856"/>
      <c r="AQ220" s="1856"/>
      <c r="AR220" s="1864" t="s">
        <v>395</v>
      </c>
      <c r="AT220" s="1194" t="s">
        <v>387</v>
      </c>
      <c r="AU220" s="1195"/>
      <c r="AV220" s="1196"/>
      <c r="AW220" s="1196"/>
      <c r="AX220" s="1196"/>
      <c r="AY220" s="1196"/>
      <c r="AZ220" s="1196"/>
      <c r="BA220" s="1196"/>
      <c r="BB220" s="1196"/>
      <c r="BC220" s="1196"/>
      <c r="BD220" s="1197"/>
      <c r="BE220" s="1858">
        <f>SUM(AU220:BD220)</f>
        <v>0</v>
      </c>
      <c r="BF220" s="1860">
        <f>SUM(AU221:BD221)</f>
        <v>0</v>
      </c>
      <c r="BG220" s="1860">
        <f>SUM(AU222:BD222)</f>
        <v>0</v>
      </c>
      <c r="BH220" s="1862">
        <f>SUM(AU223:BD223)</f>
        <v>0</v>
      </c>
      <c r="BI220" s="1854" t="str">
        <f>IF(AY207="","",SUM(BF220:BH224))</f>
        <v/>
      </c>
      <c r="BJ220" s="1856"/>
      <c r="BK220" s="1856"/>
      <c r="BL220" s="1856"/>
      <c r="BM220" s="1856"/>
      <c r="BN220" s="1864" t="s">
        <v>395</v>
      </c>
    </row>
    <row r="221" spans="2:66" ht="13.5">
      <c r="B221" s="1198" t="s">
        <v>383</v>
      </c>
      <c r="C221" s="1199"/>
      <c r="D221" s="1200"/>
      <c r="E221" s="1200"/>
      <c r="F221" s="1200"/>
      <c r="G221" s="1200"/>
      <c r="H221" s="1200"/>
      <c r="I221" s="1200"/>
      <c r="J221" s="1200"/>
      <c r="K221" s="1200"/>
      <c r="L221" s="1201"/>
      <c r="M221" s="1843"/>
      <c r="N221" s="1846"/>
      <c r="O221" s="1846"/>
      <c r="P221" s="1849"/>
      <c r="Q221" s="1852"/>
      <c r="R221" s="1840"/>
      <c r="S221" s="1840"/>
      <c r="T221" s="1840"/>
      <c r="U221" s="1840"/>
      <c r="V221" s="1837"/>
      <c r="X221" s="1198" t="s">
        <v>383</v>
      </c>
      <c r="Y221" s="1199"/>
      <c r="Z221" s="1200"/>
      <c r="AA221" s="1200"/>
      <c r="AB221" s="1200"/>
      <c r="AC221" s="1200"/>
      <c r="AD221" s="1200"/>
      <c r="AE221" s="1200"/>
      <c r="AF221" s="1200"/>
      <c r="AG221" s="1200"/>
      <c r="AH221" s="1201"/>
      <c r="AI221" s="1843"/>
      <c r="AJ221" s="1846"/>
      <c r="AK221" s="1846"/>
      <c r="AL221" s="1849"/>
      <c r="AM221" s="1852"/>
      <c r="AN221" s="1840"/>
      <c r="AO221" s="1840"/>
      <c r="AP221" s="1840"/>
      <c r="AQ221" s="1840"/>
      <c r="AR221" s="1837"/>
      <c r="AT221" s="1198" t="s">
        <v>383</v>
      </c>
      <c r="AU221" s="1199"/>
      <c r="AV221" s="1200"/>
      <c r="AW221" s="1200"/>
      <c r="AX221" s="1200"/>
      <c r="AY221" s="1200"/>
      <c r="AZ221" s="1200"/>
      <c r="BA221" s="1200"/>
      <c r="BB221" s="1200"/>
      <c r="BC221" s="1200"/>
      <c r="BD221" s="1201"/>
      <c r="BE221" s="1843"/>
      <c r="BF221" s="1846"/>
      <c r="BG221" s="1846"/>
      <c r="BH221" s="1849"/>
      <c r="BI221" s="1852"/>
      <c r="BJ221" s="1840"/>
      <c r="BK221" s="1840"/>
      <c r="BL221" s="1840"/>
      <c r="BM221" s="1840"/>
      <c r="BN221" s="1837"/>
    </row>
    <row r="222" spans="2:66" ht="13.5">
      <c r="B222" s="1202" t="s">
        <v>384</v>
      </c>
      <c r="C222" s="1203"/>
      <c r="D222" s="1204"/>
      <c r="E222" s="1204"/>
      <c r="F222" s="1204"/>
      <c r="G222" s="1204"/>
      <c r="H222" s="1204"/>
      <c r="I222" s="1204"/>
      <c r="J222" s="1204"/>
      <c r="K222" s="1204"/>
      <c r="L222" s="1205"/>
      <c r="M222" s="1843"/>
      <c r="N222" s="1846"/>
      <c r="O222" s="1846"/>
      <c r="P222" s="1849"/>
      <c r="Q222" s="1852"/>
      <c r="R222" s="1840"/>
      <c r="S222" s="1840"/>
      <c r="T222" s="1840"/>
      <c r="U222" s="1840"/>
      <c r="V222" s="1837"/>
      <c r="X222" s="1202" t="s">
        <v>384</v>
      </c>
      <c r="Y222" s="1203"/>
      <c r="Z222" s="1204"/>
      <c r="AA222" s="1204"/>
      <c r="AB222" s="1204"/>
      <c r="AC222" s="1204"/>
      <c r="AD222" s="1204"/>
      <c r="AE222" s="1204"/>
      <c r="AF222" s="1204"/>
      <c r="AG222" s="1204"/>
      <c r="AH222" s="1205"/>
      <c r="AI222" s="1843"/>
      <c r="AJ222" s="1846"/>
      <c r="AK222" s="1846"/>
      <c r="AL222" s="1849"/>
      <c r="AM222" s="1852"/>
      <c r="AN222" s="1840"/>
      <c r="AO222" s="1840"/>
      <c r="AP222" s="1840"/>
      <c r="AQ222" s="1840"/>
      <c r="AR222" s="1837"/>
      <c r="AT222" s="1202" t="s">
        <v>384</v>
      </c>
      <c r="AU222" s="1203"/>
      <c r="AV222" s="1204"/>
      <c r="AW222" s="1204"/>
      <c r="AX222" s="1204"/>
      <c r="AY222" s="1204"/>
      <c r="AZ222" s="1204"/>
      <c r="BA222" s="1204"/>
      <c r="BB222" s="1204"/>
      <c r="BC222" s="1204"/>
      <c r="BD222" s="1205"/>
      <c r="BE222" s="1843"/>
      <c r="BF222" s="1846"/>
      <c r="BG222" s="1846"/>
      <c r="BH222" s="1849"/>
      <c r="BI222" s="1852"/>
      <c r="BJ222" s="1840"/>
      <c r="BK222" s="1840"/>
      <c r="BL222" s="1840"/>
      <c r="BM222" s="1840"/>
      <c r="BN222" s="1837"/>
    </row>
    <row r="223" spans="2:66" ht="13.5">
      <c r="B223" s="1206" t="s">
        <v>385</v>
      </c>
      <c r="C223" s="1207"/>
      <c r="D223" s="1208"/>
      <c r="E223" s="1208"/>
      <c r="F223" s="1208"/>
      <c r="G223" s="1208"/>
      <c r="H223" s="1208"/>
      <c r="I223" s="1208"/>
      <c r="J223" s="1208"/>
      <c r="K223" s="1208"/>
      <c r="L223" s="1209"/>
      <c r="M223" s="1843"/>
      <c r="N223" s="1846"/>
      <c r="O223" s="1846"/>
      <c r="P223" s="1849"/>
      <c r="Q223" s="1852"/>
      <c r="R223" s="1840"/>
      <c r="S223" s="1840"/>
      <c r="T223" s="1840"/>
      <c r="U223" s="1840"/>
      <c r="V223" s="1837"/>
      <c r="X223" s="1206" t="s">
        <v>385</v>
      </c>
      <c r="Y223" s="1207"/>
      <c r="Z223" s="1208"/>
      <c r="AA223" s="1208"/>
      <c r="AB223" s="1208"/>
      <c r="AC223" s="1208"/>
      <c r="AD223" s="1208"/>
      <c r="AE223" s="1208"/>
      <c r="AF223" s="1208"/>
      <c r="AG223" s="1208"/>
      <c r="AH223" s="1209"/>
      <c r="AI223" s="1843"/>
      <c r="AJ223" s="1846"/>
      <c r="AK223" s="1846"/>
      <c r="AL223" s="1849"/>
      <c r="AM223" s="1852"/>
      <c r="AN223" s="1840"/>
      <c r="AO223" s="1840"/>
      <c r="AP223" s="1840"/>
      <c r="AQ223" s="1840"/>
      <c r="AR223" s="1837"/>
      <c r="AT223" s="1206" t="s">
        <v>385</v>
      </c>
      <c r="AU223" s="1207"/>
      <c r="AV223" s="1208"/>
      <c r="AW223" s="1208"/>
      <c r="AX223" s="1208"/>
      <c r="AY223" s="1208"/>
      <c r="AZ223" s="1208"/>
      <c r="BA223" s="1208"/>
      <c r="BB223" s="1208"/>
      <c r="BC223" s="1208"/>
      <c r="BD223" s="1209"/>
      <c r="BE223" s="1843"/>
      <c r="BF223" s="1846"/>
      <c r="BG223" s="1846"/>
      <c r="BH223" s="1849"/>
      <c r="BI223" s="1852"/>
      <c r="BJ223" s="1840"/>
      <c r="BK223" s="1840"/>
      <c r="BL223" s="1840"/>
      <c r="BM223" s="1840"/>
      <c r="BN223" s="1837"/>
    </row>
    <row r="224" spans="2:66" ht="14" thickBot="1">
      <c r="B224" s="1210" t="s">
        <v>388</v>
      </c>
      <c r="C224" s="1221" t="str">
        <f>IF(OR(C221&gt;0,C222&gt;0,C223&gt;0),1,"")</f>
        <v/>
      </c>
      <c r="D224" s="1222" t="str">
        <f>IF(OR(D221&gt;0,D222&gt;0,D223&gt;0),1,"")</f>
        <v/>
      </c>
      <c r="E224" s="1222" t="str">
        <f t="shared" ref="E224:L224" si="111">IF(OR(E221&gt;0,E222&gt;0,E223&gt;0),1,"")</f>
        <v/>
      </c>
      <c r="F224" s="1222" t="str">
        <f t="shared" si="111"/>
        <v/>
      </c>
      <c r="G224" s="1222" t="str">
        <f t="shared" si="111"/>
        <v/>
      </c>
      <c r="H224" s="1222" t="str">
        <f t="shared" si="111"/>
        <v/>
      </c>
      <c r="I224" s="1222" t="str">
        <f t="shared" si="111"/>
        <v/>
      </c>
      <c r="J224" s="1222" t="str">
        <f t="shared" si="111"/>
        <v/>
      </c>
      <c r="K224" s="1222" t="str">
        <f t="shared" si="111"/>
        <v/>
      </c>
      <c r="L224" s="1222" t="str">
        <f t="shared" si="111"/>
        <v/>
      </c>
      <c r="M224" s="1859"/>
      <c r="N224" s="1861"/>
      <c r="O224" s="1861"/>
      <c r="P224" s="1863"/>
      <c r="Q224" s="1855"/>
      <c r="R224" s="1857"/>
      <c r="S224" s="1857"/>
      <c r="T224" s="1857"/>
      <c r="U224" s="1857"/>
      <c r="V224" s="1865"/>
      <c r="X224" s="1210" t="s">
        <v>388</v>
      </c>
      <c r="Y224" s="1221" t="str">
        <f>IF(OR(Y221&gt;0,Y222&gt;0,Y223&gt;0),1,"")</f>
        <v/>
      </c>
      <c r="Z224" s="1222" t="str">
        <f>IF(OR(Z221&gt;0,Z222&gt;0,Z223&gt;0),1,"")</f>
        <v/>
      </c>
      <c r="AA224" s="1222" t="str">
        <f t="shared" ref="AA224:AH224" si="112">IF(OR(AA221&gt;0,AA222&gt;0,AA223&gt;0),1,"")</f>
        <v/>
      </c>
      <c r="AB224" s="1222" t="str">
        <f t="shared" si="112"/>
        <v/>
      </c>
      <c r="AC224" s="1222" t="str">
        <f t="shared" si="112"/>
        <v/>
      </c>
      <c r="AD224" s="1222" t="str">
        <f t="shared" si="112"/>
        <v/>
      </c>
      <c r="AE224" s="1222" t="str">
        <f t="shared" si="112"/>
        <v/>
      </c>
      <c r="AF224" s="1222" t="str">
        <f t="shared" si="112"/>
        <v/>
      </c>
      <c r="AG224" s="1222" t="str">
        <f t="shared" si="112"/>
        <v/>
      </c>
      <c r="AH224" s="1222" t="str">
        <f t="shared" si="112"/>
        <v/>
      </c>
      <c r="AI224" s="1859"/>
      <c r="AJ224" s="1861"/>
      <c r="AK224" s="1861"/>
      <c r="AL224" s="1863"/>
      <c r="AM224" s="1855"/>
      <c r="AN224" s="1857"/>
      <c r="AO224" s="1857"/>
      <c r="AP224" s="1857"/>
      <c r="AQ224" s="1857"/>
      <c r="AR224" s="1865"/>
      <c r="AT224" s="1210" t="s">
        <v>388</v>
      </c>
      <c r="AU224" s="1221" t="str">
        <f>IF(OR(AU221&gt;0,AU222&gt;0,AU223&gt;0),1,"")</f>
        <v/>
      </c>
      <c r="AV224" s="1222" t="str">
        <f>IF(OR(AV221&gt;0,AV222&gt;0,AV223&gt;0),1,"")</f>
        <v/>
      </c>
      <c r="AW224" s="1222" t="str">
        <f t="shared" ref="AW224:BD224" si="113">IF(OR(AW221&gt;0,AW222&gt;0,AW223&gt;0),1,"")</f>
        <v/>
      </c>
      <c r="AX224" s="1222" t="str">
        <f t="shared" si="113"/>
        <v/>
      </c>
      <c r="AY224" s="1222" t="str">
        <f t="shared" si="113"/>
        <v/>
      </c>
      <c r="AZ224" s="1222" t="str">
        <f t="shared" si="113"/>
        <v/>
      </c>
      <c r="BA224" s="1222" t="str">
        <f t="shared" si="113"/>
        <v/>
      </c>
      <c r="BB224" s="1222" t="str">
        <f t="shared" si="113"/>
        <v/>
      </c>
      <c r="BC224" s="1222" t="str">
        <f t="shared" si="113"/>
        <v/>
      </c>
      <c r="BD224" s="1222" t="str">
        <f t="shared" si="113"/>
        <v/>
      </c>
      <c r="BE224" s="1859"/>
      <c r="BF224" s="1861"/>
      <c r="BG224" s="1861"/>
      <c r="BH224" s="1863"/>
      <c r="BI224" s="1855"/>
      <c r="BJ224" s="1857"/>
      <c r="BK224" s="1857"/>
      <c r="BL224" s="1857"/>
      <c r="BM224" s="1857"/>
      <c r="BN224" s="1865"/>
    </row>
    <row r="225" spans="2:66" ht="15" customHeight="1" thickTop="1">
      <c r="B225" s="1194" t="s">
        <v>387</v>
      </c>
      <c r="C225" s="1195"/>
      <c r="D225" s="1196"/>
      <c r="E225" s="1196"/>
      <c r="F225" s="1196"/>
      <c r="G225" s="1196"/>
      <c r="H225" s="1196"/>
      <c r="I225" s="1196"/>
      <c r="J225" s="1196"/>
      <c r="K225" s="1196"/>
      <c r="L225" s="1197"/>
      <c r="M225" s="1858">
        <f>SUM(C225:L225)</f>
        <v>0</v>
      </c>
      <c r="N225" s="1860">
        <f>SUM(C226:L226)</f>
        <v>0</v>
      </c>
      <c r="O225" s="1860">
        <f>SUM(C227:L227)</f>
        <v>0</v>
      </c>
      <c r="P225" s="1862">
        <f>SUM(C228:L228)</f>
        <v>0</v>
      </c>
      <c r="Q225" s="1854" t="str">
        <f>IF(G207="","",SUM(N225:P229))</f>
        <v/>
      </c>
      <c r="R225" s="1856"/>
      <c r="S225" s="1856"/>
      <c r="T225" s="1856"/>
      <c r="U225" s="1856"/>
      <c r="V225" s="1864" t="s">
        <v>395</v>
      </c>
      <c r="X225" s="1194" t="s">
        <v>387</v>
      </c>
      <c r="Y225" s="1195"/>
      <c r="Z225" s="1196"/>
      <c r="AA225" s="1196"/>
      <c r="AB225" s="1196"/>
      <c r="AC225" s="1196"/>
      <c r="AD225" s="1196"/>
      <c r="AE225" s="1196"/>
      <c r="AF225" s="1196"/>
      <c r="AG225" s="1196"/>
      <c r="AH225" s="1197"/>
      <c r="AI225" s="1858">
        <f>SUM(Y225:AH225)</f>
        <v>0</v>
      </c>
      <c r="AJ225" s="1860">
        <f>SUM(Y226:AH226)</f>
        <v>0</v>
      </c>
      <c r="AK225" s="1860">
        <f>SUM(Y227:AH227)</f>
        <v>0</v>
      </c>
      <c r="AL225" s="1862">
        <f>SUM(Y228:AH228)</f>
        <v>0</v>
      </c>
      <c r="AM225" s="1854" t="str">
        <f>IF(AC207="","",SUM(AJ225:AL229))</f>
        <v/>
      </c>
      <c r="AN225" s="1856"/>
      <c r="AO225" s="1856"/>
      <c r="AP225" s="1856"/>
      <c r="AQ225" s="1856"/>
      <c r="AR225" s="1864" t="s">
        <v>395</v>
      </c>
      <c r="AT225" s="1194" t="s">
        <v>387</v>
      </c>
      <c r="AU225" s="1195"/>
      <c r="AV225" s="1196"/>
      <c r="AW225" s="1196"/>
      <c r="AX225" s="1196"/>
      <c r="AY225" s="1196"/>
      <c r="AZ225" s="1196"/>
      <c r="BA225" s="1196"/>
      <c r="BB225" s="1196"/>
      <c r="BC225" s="1196"/>
      <c r="BD225" s="1197"/>
      <c r="BE225" s="1858">
        <f>SUM(AU225:BD225)</f>
        <v>0</v>
      </c>
      <c r="BF225" s="1860">
        <f>SUM(AU226:BD226)</f>
        <v>0</v>
      </c>
      <c r="BG225" s="1860">
        <f>SUM(AU227:BD227)</f>
        <v>0</v>
      </c>
      <c r="BH225" s="1862">
        <f>SUM(AU228:BD228)</f>
        <v>0</v>
      </c>
      <c r="BI225" s="1854" t="str">
        <f>IF(AY207="","",SUM(BF225:BH229))</f>
        <v/>
      </c>
      <c r="BJ225" s="1856"/>
      <c r="BK225" s="1856"/>
      <c r="BL225" s="1856"/>
      <c r="BM225" s="1856"/>
      <c r="BN225" s="1864" t="s">
        <v>395</v>
      </c>
    </row>
    <row r="226" spans="2:66" ht="13.5">
      <c r="B226" s="1198" t="s">
        <v>383</v>
      </c>
      <c r="C226" s="1199"/>
      <c r="D226" s="1200"/>
      <c r="E226" s="1200"/>
      <c r="F226" s="1200"/>
      <c r="G226" s="1200"/>
      <c r="H226" s="1200"/>
      <c r="I226" s="1200"/>
      <c r="J226" s="1200"/>
      <c r="K226" s="1200"/>
      <c r="L226" s="1201"/>
      <c r="M226" s="1843"/>
      <c r="N226" s="1846"/>
      <c r="O226" s="1846"/>
      <c r="P226" s="1849"/>
      <c r="Q226" s="1852"/>
      <c r="R226" s="1840"/>
      <c r="S226" s="1840"/>
      <c r="T226" s="1840"/>
      <c r="U226" s="1840"/>
      <c r="V226" s="1837"/>
      <c r="X226" s="1198" t="s">
        <v>383</v>
      </c>
      <c r="Y226" s="1199"/>
      <c r="Z226" s="1200"/>
      <c r="AA226" s="1200"/>
      <c r="AB226" s="1200"/>
      <c r="AC226" s="1200"/>
      <c r="AD226" s="1200"/>
      <c r="AE226" s="1200"/>
      <c r="AF226" s="1200"/>
      <c r="AG226" s="1200"/>
      <c r="AH226" s="1201"/>
      <c r="AI226" s="1843"/>
      <c r="AJ226" s="1846"/>
      <c r="AK226" s="1846"/>
      <c r="AL226" s="1849"/>
      <c r="AM226" s="1852"/>
      <c r="AN226" s="1840"/>
      <c r="AO226" s="1840"/>
      <c r="AP226" s="1840"/>
      <c r="AQ226" s="1840"/>
      <c r="AR226" s="1837"/>
      <c r="AT226" s="1198" t="s">
        <v>383</v>
      </c>
      <c r="AU226" s="1199"/>
      <c r="AV226" s="1200"/>
      <c r="AW226" s="1200"/>
      <c r="AX226" s="1200"/>
      <c r="AY226" s="1200"/>
      <c r="AZ226" s="1200"/>
      <c r="BA226" s="1200"/>
      <c r="BB226" s="1200"/>
      <c r="BC226" s="1200"/>
      <c r="BD226" s="1201"/>
      <c r="BE226" s="1843"/>
      <c r="BF226" s="1846"/>
      <c r="BG226" s="1846"/>
      <c r="BH226" s="1849"/>
      <c r="BI226" s="1852"/>
      <c r="BJ226" s="1840"/>
      <c r="BK226" s="1840"/>
      <c r="BL226" s="1840"/>
      <c r="BM226" s="1840"/>
      <c r="BN226" s="1837"/>
    </row>
    <row r="227" spans="2:66" ht="13.5">
      <c r="B227" s="1202" t="s">
        <v>384</v>
      </c>
      <c r="C227" s="1203"/>
      <c r="D227" s="1204"/>
      <c r="E227" s="1204"/>
      <c r="F227" s="1204"/>
      <c r="G227" s="1204"/>
      <c r="H227" s="1204"/>
      <c r="I227" s="1204"/>
      <c r="J227" s="1204"/>
      <c r="K227" s="1204"/>
      <c r="L227" s="1205"/>
      <c r="M227" s="1843"/>
      <c r="N227" s="1846"/>
      <c r="O227" s="1846"/>
      <c r="P227" s="1849"/>
      <c r="Q227" s="1852"/>
      <c r="R227" s="1840"/>
      <c r="S227" s="1840"/>
      <c r="T227" s="1840"/>
      <c r="U227" s="1840"/>
      <c r="V227" s="1837"/>
      <c r="X227" s="1202" t="s">
        <v>384</v>
      </c>
      <c r="Y227" s="1203"/>
      <c r="Z227" s="1204"/>
      <c r="AA227" s="1204"/>
      <c r="AB227" s="1204"/>
      <c r="AC227" s="1204"/>
      <c r="AD227" s="1204"/>
      <c r="AE227" s="1204"/>
      <c r="AF227" s="1204"/>
      <c r="AG227" s="1204"/>
      <c r="AH227" s="1205"/>
      <c r="AI227" s="1843"/>
      <c r="AJ227" s="1846"/>
      <c r="AK227" s="1846"/>
      <c r="AL227" s="1849"/>
      <c r="AM227" s="1852"/>
      <c r="AN227" s="1840"/>
      <c r="AO227" s="1840"/>
      <c r="AP227" s="1840"/>
      <c r="AQ227" s="1840"/>
      <c r="AR227" s="1837"/>
      <c r="AT227" s="1202" t="s">
        <v>384</v>
      </c>
      <c r="AU227" s="1203"/>
      <c r="AV227" s="1204"/>
      <c r="AW227" s="1204"/>
      <c r="AX227" s="1204"/>
      <c r="AY227" s="1204"/>
      <c r="AZ227" s="1204"/>
      <c r="BA227" s="1204"/>
      <c r="BB227" s="1204"/>
      <c r="BC227" s="1204"/>
      <c r="BD227" s="1205"/>
      <c r="BE227" s="1843"/>
      <c r="BF227" s="1846"/>
      <c r="BG227" s="1846"/>
      <c r="BH227" s="1849"/>
      <c r="BI227" s="1852"/>
      <c r="BJ227" s="1840"/>
      <c r="BK227" s="1840"/>
      <c r="BL227" s="1840"/>
      <c r="BM227" s="1840"/>
      <c r="BN227" s="1837"/>
    </row>
    <row r="228" spans="2:66" ht="13.5">
      <c r="B228" s="1206" t="s">
        <v>385</v>
      </c>
      <c r="C228" s="1207"/>
      <c r="D228" s="1208"/>
      <c r="E228" s="1208"/>
      <c r="F228" s="1208"/>
      <c r="G228" s="1208"/>
      <c r="H228" s="1208"/>
      <c r="I228" s="1208"/>
      <c r="J228" s="1208"/>
      <c r="K228" s="1208"/>
      <c r="L228" s="1209"/>
      <c r="M228" s="1843"/>
      <c r="N228" s="1846"/>
      <c r="O228" s="1846"/>
      <c r="P228" s="1849"/>
      <c r="Q228" s="1852"/>
      <c r="R228" s="1840"/>
      <c r="S228" s="1840"/>
      <c r="T228" s="1840"/>
      <c r="U228" s="1840"/>
      <c r="V228" s="1837"/>
      <c r="X228" s="1206" t="s">
        <v>385</v>
      </c>
      <c r="Y228" s="1207"/>
      <c r="Z228" s="1208"/>
      <c r="AA228" s="1208"/>
      <c r="AB228" s="1208"/>
      <c r="AC228" s="1208"/>
      <c r="AD228" s="1208"/>
      <c r="AE228" s="1208"/>
      <c r="AF228" s="1208"/>
      <c r="AG228" s="1208"/>
      <c r="AH228" s="1209"/>
      <c r="AI228" s="1843"/>
      <c r="AJ228" s="1846"/>
      <c r="AK228" s="1846"/>
      <c r="AL228" s="1849"/>
      <c r="AM228" s="1852"/>
      <c r="AN228" s="1840"/>
      <c r="AO228" s="1840"/>
      <c r="AP228" s="1840"/>
      <c r="AQ228" s="1840"/>
      <c r="AR228" s="1837"/>
      <c r="AT228" s="1206" t="s">
        <v>385</v>
      </c>
      <c r="AU228" s="1207"/>
      <c r="AV228" s="1208"/>
      <c r="AW228" s="1208"/>
      <c r="AX228" s="1208"/>
      <c r="AY228" s="1208"/>
      <c r="AZ228" s="1208"/>
      <c r="BA228" s="1208"/>
      <c r="BB228" s="1208"/>
      <c r="BC228" s="1208"/>
      <c r="BD228" s="1209"/>
      <c r="BE228" s="1843"/>
      <c r="BF228" s="1846"/>
      <c r="BG228" s="1846"/>
      <c r="BH228" s="1849"/>
      <c r="BI228" s="1852"/>
      <c r="BJ228" s="1840"/>
      <c r="BK228" s="1840"/>
      <c r="BL228" s="1840"/>
      <c r="BM228" s="1840"/>
      <c r="BN228" s="1837"/>
    </row>
    <row r="229" spans="2:66" ht="14" thickBot="1">
      <c r="B229" s="1210" t="s">
        <v>388</v>
      </c>
      <c r="C229" s="1221" t="str">
        <f>IF(OR(C226&gt;0,C227&gt;0,C228&gt;0),1,"")</f>
        <v/>
      </c>
      <c r="D229" s="1222" t="str">
        <f>IF(OR(D226&gt;0,D227&gt;0,D228&gt;0),1,"")</f>
        <v/>
      </c>
      <c r="E229" s="1222" t="str">
        <f t="shared" ref="E229:L229" si="114">IF(OR(E226&gt;0,E227&gt;0,E228&gt;0),1,"")</f>
        <v/>
      </c>
      <c r="F229" s="1222" t="str">
        <f t="shared" si="114"/>
        <v/>
      </c>
      <c r="G229" s="1222" t="str">
        <f t="shared" si="114"/>
        <v/>
      </c>
      <c r="H229" s="1222" t="str">
        <f t="shared" si="114"/>
        <v/>
      </c>
      <c r="I229" s="1222" t="str">
        <f t="shared" si="114"/>
        <v/>
      </c>
      <c r="J229" s="1222" t="str">
        <f t="shared" si="114"/>
        <v/>
      </c>
      <c r="K229" s="1222" t="str">
        <f t="shared" si="114"/>
        <v/>
      </c>
      <c r="L229" s="1222" t="str">
        <f t="shared" si="114"/>
        <v/>
      </c>
      <c r="M229" s="1859"/>
      <c r="N229" s="1861"/>
      <c r="O229" s="1861"/>
      <c r="P229" s="1863"/>
      <c r="Q229" s="1855"/>
      <c r="R229" s="1857"/>
      <c r="S229" s="1857"/>
      <c r="T229" s="1857"/>
      <c r="U229" s="1857"/>
      <c r="V229" s="1865"/>
      <c r="X229" s="1210" t="s">
        <v>388</v>
      </c>
      <c r="Y229" s="1221" t="str">
        <f>IF(OR(Y226&gt;0,Y227&gt;0,Y228&gt;0),1,"")</f>
        <v/>
      </c>
      <c r="Z229" s="1222" t="str">
        <f>IF(OR(Z226&gt;0,Z227&gt;0,Z228&gt;0),1,"")</f>
        <v/>
      </c>
      <c r="AA229" s="1222" t="str">
        <f t="shared" ref="AA229:AH229" si="115">IF(OR(AA226&gt;0,AA227&gt;0,AA228&gt;0),1,"")</f>
        <v/>
      </c>
      <c r="AB229" s="1222" t="str">
        <f t="shared" si="115"/>
        <v/>
      </c>
      <c r="AC229" s="1222" t="str">
        <f t="shared" si="115"/>
        <v/>
      </c>
      <c r="AD229" s="1222" t="str">
        <f t="shared" si="115"/>
        <v/>
      </c>
      <c r="AE229" s="1222" t="str">
        <f t="shared" si="115"/>
        <v/>
      </c>
      <c r="AF229" s="1222" t="str">
        <f t="shared" si="115"/>
        <v/>
      </c>
      <c r="AG229" s="1222" t="str">
        <f t="shared" si="115"/>
        <v/>
      </c>
      <c r="AH229" s="1222" t="str">
        <f t="shared" si="115"/>
        <v/>
      </c>
      <c r="AI229" s="1859"/>
      <c r="AJ229" s="1861"/>
      <c r="AK229" s="1861"/>
      <c r="AL229" s="1863"/>
      <c r="AM229" s="1855"/>
      <c r="AN229" s="1857"/>
      <c r="AO229" s="1857"/>
      <c r="AP229" s="1857"/>
      <c r="AQ229" s="1857"/>
      <c r="AR229" s="1865"/>
      <c r="AT229" s="1210" t="s">
        <v>388</v>
      </c>
      <c r="AU229" s="1221" t="str">
        <f>IF(OR(AU226&gt;0,AU227&gt;0,AU228&gt;0),1,"")</f>
        <v/>
      </c>
      <c r="AV229" s="1222" t="str">
        <f>IF(OR(AV226&gt;0,AV227&gt;0,AV228&gt;0),1,"")</f>
        <v/>
      </c>
      <c r="AW229" s="1222" t="str">
        <f t="shared" ref="AW229:BD229" si="116">IF(OR(AW226&gt;0,AW227&gt;0,AW228&gt;0),1,"")</f>
        <v/>
      </c>
      <c r="AX229" s="1222" t="str">
        <f t="shared" si="116"/>
        <v/>
      </c>
      <c r="AY229" s="1222" t="str">
        <f t="shared" si="116"/>
        <v/>
      </c>
      <c r="AZ229" s="1222" t="str">
        <f t="shared" si="116"/>
        <v/>
      </c>
      <c r="BA229" s="1222" t="str">
        <f t="shared" si="116"/>
        <v/>
      </c>
      <c r="BB229" s="1222" t="str">
        <f t="shared" si="116"/>
        <v/>
      </c>
      <c r="BC229" s="1222" t="str">
        <f t="shared" si="116"/>
        <v/>
      </c>
      <c r="BD229" s="1222" t="str">
        <f t="shared" si="116"/>
        <v/>
      </c>
      <c r="BE229" s="1859"/>
      <c r="BF229" s="1861"/>
      <c r="BG229" s="1861"/>
      <c r="BH229" s="1863"/>
      <c r="BI229" s="1855"/>
      <c r="BJ229" s="1857"/>
      <c r="BK229" s="1857"/>
      <c r="BL229" s="1857"/>
      <c r="BM229" s="1857"/>
      <c r="BN229" s="1865"/>
    </row>
    <row r="230" spans="2:66" ht="15" customHeight="1" thickTop="1">
      <c r="B230" s="1194" t="s">
        <v>387</v>
      </c>
      <c r="C230" s="1195"/>
      <c r="D230" s="1196"/>
      <c r="E230" s="1196"/>
      <c r="F230" s="1196"/>
      <c r="G230" s="1196"/>
      <c r="H230" s="1196"/>
      <c r="I230" s="1196"/>
      <c r="J230" s="1196"/>
      <c r="K230" s="1196"/>
      <c r="L230" s="1197"/>
      <c r="M230" s="1842">
        <f>SUM(C230:L230)</f>
        <v>0</v>
      </c>
      <c r="N230" s="1845">
        <f>SUM(C231:L231)</f>
        <v>0</v>
      </c>
      <c r="O230" s="1845">
        <f>SUM(C232:L232)</f>
        <v>0</v>
      </c>
      <c r="P230" s="1848">
        <f>SUM(C233:L233)</f>
        <v>0</v>
      </c>
      <c r="Q230" s="1851" t="str">
        <f>IF(G207="","",SUM(N230:P234))</f>
        <v/>
      </c>
      <c r="R230" s="1839"/>
      <c r="S230" s="1839"/>
      <c r="T230" s="1839"/>
      <c r="U230" s="1839"/>
      <c r="V230" s="1836" t="s">
        <v>395</v>
      </c>
      <c r="X230" s="1194" t="s">
        <v>387</v>
      </c>
      <c r="Y230" s="1195"/>
      <c r="Z230" s="1196"/>
      <c r="AA230" s="1196"/>
      <c r="AB230" s="1196"/>
      <c r="AC230" s="1196"/>
      <c r="AD230" s="1196"/>
      <c r="AE230" s="1196"/>
      <c r="AF230" s="1196"/>
      <c r="AG230" s="1196"/>
      <c r="AH230" s="1197"/>
      <c r="AI230" s="1842">
        <f>SUM(Y230:AH230)</f>
        <v>0</v>
      </c>
      <c r="AJ230" s="1845">
        <f>SUM(Y231:AH231)</f>
        <v>0</v>
      </c>
      <c r="AK230" s="1845">
        <f>SUM(Y232:AH232)</f>
        <v>0</v>
      </c>
      <c r="AL230" s="1848">
        <f>SUM(Y233:AH233)</f>
        <v>0</v>
      </c>
      <c r="AM230" s="1851" t="str">
        <f>IF(AC207="","",SUM(AJ230:AL234))</f>
        <v/>
      </c>
      <c r="AN230" s="1839"/>
      <c r="AO230" s="1839"/>
      <c r="AP230" s="1839"/>
      <c r="AQ230" s="1839"/>
      <c r="AR230" s="1836" t="s">
        <v>395</v>
      </c>
      <c r="AT230" s="1194" t="s">
        <v>387</v>
      </c>
      <c r="AU230" s="1195"/>
      <c r="AV230" s="1196"/>
      <c r="AW230" s="1196"/>
      <c r="AX230" s="1196"/>
      <c r="AY230" s="1196"/>
      <c r="AZ230" s="1196"/>
      <c r="BA230" s="1196"/>
      <c r="BB230" s="1196"/>
      <c r="BC230" s="1196"/>
      <c r="BD230" s="1197"/>
      <c r="BE230" s="1842">
        <f>SUM(AU230:BD230)</f>
        <v>0</v>
      </c>
      <c r="BF230" s="1845">
        <f>SUM(AU231:BD231)</f>
        <v>0</v>
      </c>
      <c r="BG230" s="1845">
        <f>SUM(AU232:BD232)</f>
        <v>0</v>
      </c>
      <c r="BH230" s="1848">
        <f>SUM(AU233:BD233)</f>
        <v>0</v>
      </c>
      <c r="BI230" s="1851" t="str">
        <f>IF(AY207="","",SUM(BF230:BH234))</f>
        <v/>
      </c>
      <c r="BJ230" s="1839"/>
      <c r="BK230" s="1839"/>
      <c r="BL230" s="1839"/>
      <c r="BM230" s="1839"/>
      <c r="BN230" s="1836" t="s">
        <v>395</v>
      </c>
    </row>
    <row r="231" spans="2:66" ht="13.5">
      <c r="B231" s="1198" t="s">
        <v>383</v>
      </c>
      <c r="C231" s="1199"/>
      <c r="D231" s="1200"/>
      <c r="E231" s="1200"/>
      <c r="F231" s="1200"/>
      <c r="G231" s="1200"/>
      <c r="H231" s="1200"/>
      <c r="I231" s="1200"/>
      <c r="J231" s="1200"/>
      <c r="K231" s="1200"/>
      <c r="L231" s="1201"/>
      <c r="M231" s="1843"/>
      <c r="N231" s="1846"/>
      <c r="O231" s="1846"/>
      <c r="P231" s="1849"/>
      <c r="Q231" s="1852"/>
      <c r="R231" s="1840"/>
      <c r="S231" s="1840"/>
      <c r="T231" s="1840"/>
      <c r="U231" s="1840"/>
      <c r="V231" s="1837"/>
      <c r="X231" s="1198" t="s">
        <v>383</v>
      </c>
      <c r="Y231" s="1199"/>
      <c r="Z231" s="1200"/>
      <c r="AA231" s="1200"/>
      <c r="AB231" s="1200"/>
      <c r="AC231" s="1200"/>
      <c r="AD231" s="1200"/>
      <c r="AE231" s="1200"/>
      <c r="AF231" s="1200"/>
      <c r="AG231" s="1200"/>
      <c r="AH231" s="1201"/>
      <c r="AI231" s="1843"/>
      <c r="AJ231" s="1846"/>
      <c r="AK231" s="1846"/>
      <c r="AL231" s="1849"/>
      <c r="AM231" s="1852"/>
      <c r="AN231" s="1840"/>
      <c r="AO231" s="1840"/>
      <c r="AP231" s="1840"/>
      <c r="AQ231" s="1840"/>
      <c r="AR231" s="1837"/>
      <c r="AT231" s="1198" t="s">
        <v>383</v>
      </c>
      <c r="AU231" s="1199"/>
      <c r="AV231" s="1200"/>
      <c r="AW231" s="1200"/>
      <c r="AX231" s="1200"/>
      <c r="AY231" s="1200"/>
      <c r="AZ231" s="1200"/>
      <c r="BA231" s="1200"/>
      <c r="BB231" s="1200"/>
      <c r="BC231" s="1200"/>
      <c r="BD231" s="1201"/>
      <c r="BE231" s="1843"/>
      <c r="BF231" s="1846"/>
      <c r="BG231" s="1846"/>
      <c r="BH231" s="1849"/>
      <c r="BI231" s="1852"/>
      <c r="BJ231" s="1840"/>
      <c r="BK231" s="1840"/>
      <c r="BL231" s="1840"/>
      <c r="BM231" s="1840"/>
      <c r="BN231" s="1837"/>
    </row>
    <row r="232" spans="2:66" ht="13.5">
      <c r="B232" s="1202" t="s">
        <v>384</v>
      </c>
      <c r="C232" s="1203"/>
      <c r="D232" s="1204"/>
      <c r="E232" s="1204"/>
      <c r="F232" s="1204"/>
      <c r="G232" s="1204"/>
      <c r="H232" s="1204"/>
      <c r="I232" s="1204"/>
      <c r="J232" s="1204"/>
      <c r="K232" s="1204"/>
      <c r="L232" s="1205"/>
      <c r="M232" s="1843"/>
      <c r="N232" s="1846"/>
      <c r="O232" s="1846"/>
      <c r="P232" s="1849"/>
      <c r="Q232" s="1852"/>
      <c r="R232" s="1840"/>
      <c r="S232" s="1840"/>
      <c r="T232" s="1840"/>
      <c r="U232" s="1840"/>
      <c r="V232" s="1837"/>
      <c r="X232" s="1202" t="s">
        <v>384</v>
      </c>
      <c r="Y232" s="1203"/>
      <c r="Z232" s="1204"/>
      <c r="AA232" s="1204"/>
      <c r="AB232" s="1204"/>
      <c r="AC232" s="1204"/>
      <c r="AD232" s="1204"/>
      <c r="AE232" s="1204"/>
      <c r="AF232" s="1204"/>
      <c r="AG232" s="1204"/>
      <c r="AH232" s="1205"/>
      <c r="AI232" s="1843"/>
      <c r="AJ232" s="1846"/>
      <c r="AK232" s="1846"/>
      <c r="AL232" s="1849"/>
      <c r="AM232" s="1852"/>
      <c r="AN232" s="1840"/>
      <c r="AO232" s="1840"/>
      <c r="AP232" s="1840"/>
      <c r="AQ232" s="1840"/>
      <c r="AR232" s="1837"/>
      <c r="AT232" s="1202" t="s">
        <v>384</v>
      </c>
      <c r="AU232" s="1203"/>
      <c r="AV232" s="1204"/>
      <c r="AW232" s="1204"/>
      <c r="AX232" s="1204"/>
      <c r="AY232" s="1204"/>
      <c r="AZ232" s="1204"/>
      <c r="BA232" s="1204"/>
      <c r="BB232" s="1204"/>
      <c r="BC232" s="1204"/>
      <c r="BD232" s="1205"/>
      <c r="BE232" s="1843"/>
      <c r="BF232" s="1846"/>
      <c r="BG232" s="1846"/>
      <c r="BH232" s="1849"/>
      <c r="BI232" s="1852"/>
      <c r="BJ232" s="1840"/>
      <c r="BK232" s="1840"/>
      <c r="BL232" s="1840"/>
      <c r="BM232" s="1840"/>
      <c r="BN232" s="1837"/>
    </row>
    <row r="233" spans="2:66" ht="13.5">
      <c r="B233" s="1206" t="s">
        <v>385</v>
      </c>
      <c r="C233" s="1207"/>
      <c r="D233" s="1208"/>
      <c r="E233" s="1208"/>
      <c r="F233" s="1208"/>
      <c r="G233" s="1208"/>
      <c r="H233" s="1208"/>
      <c r="I233" s="1208"/>
      <c r="J233" s="1208"/>
      <c r="K233" s="1208"/>
      <c r="L233" s="1209"/>
      <c r="M233" s="1843"/>
      <c r="N233" s="1846"/>
      <c r="O233" s="1846"/>
      <c r="P233" s="1849"/>
      <c r="Q233" s="1852"/>
      <c r="R233" s="1840"/>
      <c r="S233" s="1840"/>
      <c r="T233" s="1840"/>
      <c r="U233" s="1840"/>
      <c r="V233" s="1837"/>
      <c r="X233" s="1206" t="s">
        <v>385</v>
      </c>
      <c r="Y233" s="1207"/>
      <c r="Z233" s="1208"/>
      <c r="AA233" s="1208"/>
      <c r="AB233" s="1208"/>
      <c r="AC233" s="1208"/>
      <c r="AD233" s="1208"/>
      <c r="AE233" s="1208"/>
      <c r="AF233" s="1208"/>
      <c r="AG233" s="1208"/>
      <c r="AH233" s="1209"/>
      <c r="AI233" s="1843"/>
      <c r="AJ233" s="1846"/>
      <c r="AK233" s="1846"/>
      <c r="AL233" s="1849"/>
      <c r="AM233" s="1852"/>
      <c r="AN233" s="1840"/>
      <c r="AO233" s="1840"/>
      <c r="AP233" s="1840"/>
      <c r="AQ233" s="1840"/>
      <c r="AR233" s="1837"/>
      <c r="AT233" s="1206" t="s">
        <v>385</v>
      </c>
      <c r="AU233" s="1207"/>
      <c r="AV233" s="1208"/>
      <c r="AW233" s="1208"/>
      <c r="AX233" s="1208"/>
      <c r="AY233" s="1208"/>
      <c r="AZ233" s="1208"/>
      <c r="BA233" s="1208"/>
      <c r="BB233" s="1208"/>
      <c r="BC233" s="1208"/>
      <c r="BD233" s="1209"/>
      <c r="BE233" s="1843"/>
      <c r="BF233" s="1846"/>
      <c r="BG233" s="1846"/>
      <c r="BH233" s="1849"/>
      <c r="BI233" s="1852"/>
      <c r="BJ233" s="1840"/>
      <c r="BK233" s="1840"/>
      <c r="BL233" s="1840"/>
      <c r="BM233" s="1840"/>
      <c r="BN233" s="1837"/>
    </row>
    <row r="234" spans="2:66" ht="13.5">
      <c r="B234" s="1215" t="s">
        <v>388</v>
      </c>
      <c r="C234" s="1223" t="str">
        <f>IF(OR(C231&gt;0,C232&gt;0,C233&gt;0),1,"")</f>
        <v/>
      </c>
      <c r="D234" s="1224" t="str">
        <f>IF(OR(D231&gt;0,D232&gt;0,D233&gt;0),1,"")</f>
        <v/>
      </c>
      <c r="E234" s="1224" t="str">
        <f t="shared" ref="E234:L234" si="117">IF(OR(E231&gt;0,E232&gt;0,E233&gt;0),1,"")</f>
        <v/>
      </c>
      <c r="F234" s="1224" t="str">
        <f t="shared" si="117"/>
        <v/>
      </c>
      <c r="G234" s="1224" t="str">
        <f t="shared" si="117"/>
        <v/>
      </c>
      <c r="H234" s="1224" t="str">
        <f t="shared" si="117"/>
        <v/>
      </c>
      <c r="I234" s="1224" t="str">
        <f t="shared" si="117"/>
        <v/>
      </c>
      <c r="J234" s="1224" t="str">
        <f t="shared" si="117"/>
        <v/>
      </c>
      <c r="K234" s="1224" t="str">
        <f t="shared" si="117"/>
        <v/>
      </c>
      <c r="L234" s="1225" t="str">
        <f t="shared" si="117"/>
        <v/>
      </c>
      <c r="M234" s="1844"/>
      <c r="N234" s="1847"/>
      <c r="O234" s="1847"/>
      <c r="P234" s="1850"/>
      <c r="Q234" s="1853"/>
      <c r="R234" s="1841"/>
      <c r="S234" s="1841"/>
      <c r="T234" s="1841"/>
      <c r="U234" s="1841"/>
      <c r="V234" s="1838"/>
      <c r="X234" s="1215" t="s">
        <v>388</v>
      </c>
      <c r="Y234" s="1223" t="str">
        <f>IF(OR(Y231&gt;0,Y232&gt;0,Y233&gt;0),1,"")</f>
        <v/>
      </c>
      <c r="Z234" s="1224" t="str">
        <f>IF(OR(Z231&gt;0,Z232&gt;0,Z233&gt;0),1,"")</f>
        <v/>
      </c>
      <c r="AA234" s="1224" t="str">
        <f t="shared" ref="AA234:AH234" si="118">IF(OR(AA231&gt;0,AA232&gt;0,AA233&gt;0),1,"")</f>
        <v/>
      </c>
      <c r="AB234" s="1224" t="str">
        <f t="shared" si="118"/>
        <v/>
      </c>
      <c r="AC234" s="1224" t="str">
        <f t="shared" si="118"/>
        <v/>
      </c>
      <c r="AD234" s="1224" t="str">
        <f t="shared" si="118"/>
        <v/>
      </c>
      <c r="AE234" s="1224" t="str">
        <f t="shared" si="118"/>
        <v/>
      </c>
      <c r="AF234" s="1224" t="str">
        <f t="shared" si="118"/>
        <v/>
      </c>
      <c r="AG234" s="1224" t="str">
        <f t="shared" si="118"/>
        <v/>
      </c>
      <c r="AH234" s="1225" t="str">
        <f t="shared" si="118"/>
        <v/>
      </c>
      <c r="AI234" s="1844"/>
      <c r="AJ234" s="1847"/>
      <c r="AK234" s="1847"/>
      <c r="AL234" s="1850"/>
      <c r="AM234" s="1853"/>
      <c r="AN234" s="1841"/>
      <c r="AO234" s="1841"/>
      <c r="AP234" s="1841"/>
      <c r="AQ234" s="1841"/>
      <c r="AR234" s="1838"/>
      <c r="AT234" s="1215" t="s">
        <v>388</v>
      </c>
      <c r="AU234" s="1223" t="str">
        <f>IF(OR(AU231&gt;0,AU232&gt;0,AU233&gt;0),1,"")</f>
        <v/>
      </c>
      <c r="AV234" s="1224" t="str">
        <f>IF(OR(AV231&gt;0,AV232&gt;0,AV233&gt;0),1,"")</f>
        <v/>
      </c>
      <c r="AW234" s="1224" t="str">
        <f t="shared" ref="AW234:BD234" si="119">IF(OR(AW231&gt;0,AW232&gt;0,AW233&gt;0),1,"")</f>
        <v/>
      </c>
      <c r="AX234" s="1224" t="str">
        <f t="shared" si="119"/>
        <v/>
      </c>
      <c r="AY234" s="1224" t="str">
        <f t="shared" si="119"/>
        <v/>
      </c>
      <c r="AZ234" s="1224" t="str">
        <f t="shared" si="119"/>
        <v/>
      </c>
      <c r="BA234" s="1224" t="str">
        <f t="shared" si="119"/>
        <v/>
      </c>
      <c r="BB234" s="1224" t="str">
        <f t="shared" si="119"/>
        <v/>
      </c>
      <c r="BC234" s="1224" t="str">
        <f t="shared" si="119"/>
        <v/>
      </c>
      <c r="BD234" s="1225" t="str">
        <f t="shared" si="119"/>
        <v/>
      </c>
      <c r="BE234" s="1844"/>
      <c r="BF234" s="1847"/>
      <c r="BG234" s="1847"/>
      <c r="BH234" s="1850"/>
      <c r="BI234" s="1853"/>
      <c r="BJ234" s="1841"/>
      <c r="BK234" s="1841"/>
      <c r="BL234" s="1841"/>
      <c r="BM234" s="1841"/>
      <c r="BN234" s="1838"/>
    </row>
    <row r="236" spans="2:66">
      <c r="B236" s="1175"/>
      <c r="C236" s="1176" t="s">
        <v>402</v>
      </c>
      <c r="D236" s="1217" t="s">
        <v>396</v>
      </c>
      <c r="E236" s="1177"/>
      <c r="F236" s="1177" t="s">
        <v>373</v>
      </c>
      <c r="G236" s="1178"/>
      <c r="H236" s="1167"/>
      <c r="I236" s="1167"/>
      <c r="J236" s="1179" t="s">
        <v>374</v>
      </c>
      <c r="K236" s="1165"/>
      <c r="L236" s="1165"/>
      <c r="M236" s="1165"/>
      <c r="N236" s="1165"/>
      <c r="O236" s="1165"/>
      <c r="P236" s="1165"/>
      <c r="Q236" s="1165"/>
      <c r="R236" s="1165"/>
      <c r="S236" s="1165"/>
      <c r="T236" s="1165"/>
      <c r="U236" s="1165"/>
      <c r="V236" s="1165"/>
      <c r="X236" s="1175"/>
      <c r="Y236" s="1176" t="s">
        <v>402</v>
      </c>
      <c r="Z236" s="1217" t="s">
        <v>413</v>
      </c>
      <c r="AA236" s="1177"/>
      <c r="AB236" s="1177" t="s">
        <v>373</v>
      </c>
      <c r="AC236" s="1178"/>
      <c r="AD236" s="1167"/>
      <c r="AE236" s="1167"/>
      <c r="AF236" s="1179" t="s">
        <v>374</v>
      </c>
      <c r="AG236" s="1165"/>
      <c r="AH236" s="1165" t="s">
        <v>541</v>
      </c>
      <c r="AI236" s="1165"/>
      <c r="AJ236" s="1165"/>
      <c r="AK236" s="1165"/>
      <c r="AL236" s="1165"/>
      <c r="AM236" s="1165"/>
      <c r="AN236" s="1165"/>
      <c r="AO236" s="1165"/>
      <c r="AP236" s="1165"/>
      <c r="AQ236" s="1165"/>
      <c r="AR236" s="1165"/>
      <c r="AT236" s="1175"/>
      <c r="AU236" s="1176" t="s">
        <v>402</v>
      </c>
      <c r="AV236" s="1217" t="s">
        <v>409</v>
      </c>
      <c r="AW236" s="1177"/>
      <c r="AX236" s="1177" t="s">
        <v>373</v>
      </c>
      <c r="AY236" s="1178"/>
      <c r="AZ236" s="1167"/>
      <c r="BA236" s="1167"/>
      <c r="BB236" s="1179" t="s">
        <v>374</v>
      </c>
      <c r="BC236" s="1165"/>
      <c r="BD236" s="1165"/>
      <c r="BE236" s="1165"/>
      <c r="BF236" s="1165"/>
      <c r="BG236" s="1165"/>
      <c r="BH236" s="1165"/>
      <c r="BI236" s="1165"/>
      <c r="BJ236" s="1165"/>
      <c r="BK236" s="1165"/>
      <c r="BL236" s="1165"/>
      <c r="BM236" s="1165"/>
      <c r="BN236" s="1165"/>
    </row>
    <row r="237" spans="2:66" ht="15.75" customHeight="1">
      <c r="B237" s="1180" t="s">
        <v>375</v>
      </c>
      <c r="C237" s="1181"/>
      <c r="D237" s="1220" t="e">
        <f>IF(J237="",#N/A,SUM(C243:L243,C248:L248,C253:L253,C258:L258,C263:L263))</f>
        <v>#N/A</v>
      </c>
      <c r="E237" s="1183" t="s">
        <v>376</v>
      </c>
      <c r="F237" s="1184" t="s">
        <v>377</v>
      </c>
      <c r="G237" s="1181"/>
      <c r="H237" s="1182" t="s">
        <v>378</v>
      </c>
      <c r="I237" s="1181"/>
      <c r="J237" s="1220" t="str">
        <f>IF(AND(Q239="",Q244="",Q249="",Q254="",Q259=""),"",SUM(Q239:Q262))</f>
        <v/>
      </c>
      <c r="K237" s="1183" t="s">
        <v>379</v>
      </c>
      <c r="L237" s="1185" t="s">
        <v>377</v>
      </c>
      <c r="M237" s="1866" t="s">
        <v>380</v>
      </c>
      <c r="N237" s="1867"/>
      <c r="O237" s="1867"/>
      <c r="P237" s="1867"/>
      <c r="Q237" s="1868"/>
      <c r="R237" s="1869" t="s">
        <v>389</v>
      </c>
      <c r="S237" s="1869" t="s">
        <v>390</v>
      </c>
      <c r="T237" s="1869" t="s">
        <v>391</v>
      </c>
      <c r="U237" s="1869" t="s">
        <v>392</v>
      </c>
      <c r="V237" s="1871" t="s">
        <v>393</v>
      </c>
      <c r="X237" s="1180" t="s">
        <v>375</v>
      </c>
      <c r="Y237" s="1181"/>
      <c r="Z237" s="1220" t="e">
        <f>IF(AF237="",#N/A,SUM(Y243:AH243,Y248:AH248,Y253:AH253,Y258:AH258,Y263:AH263))</f>
        <v>#N/A</v>
      </c>
      <c r="AA237" s="1183" t="s">
        <v>376</v>
      </c>
      <c r="AB237" s="1184" t="s">
        <v>377</v>
      </c>
      <c r="AC237" s="1181"/>
      <c r="AD237" s="1182" t="s">
        <v>378</v>
      </c>
      <c r="AE237" s="1181"/>
      <c r="AF237" s="1220" t="str">
        <f>IF(AND(AM239="",AM244="",AM249="",AM254="",AM259=""),"",SUM(AM239:AM262))</f>
        <v/>
      </c>
      <c r="AG237" s="1183" t="s">
        <v>379</v>
      </c>
      <c r="AH237" s="1185" t="s">
        <v>377</v>
      </c>
      <c r="AI237" s="1866" t="s">
        <v>380</v>
      </c>
      <c r="AJ237" s="1867"/>
      <c r="AK237" s="1867"/>
      <c r="AL237" s="1867"/>
      <c r="AM237" s="1868"/>
      <c r="AN237" s="1869" t="s">
        <v>389</v>
      </c>
      <c r="AO237" s="1869" t="s">
        <v>390</v>
      </c>
      <c r="AP237" s="1869" t="s">
        <v>391</v>
      </c>
      <c r="AQ237" s="1869" t="s">
        <v>392</v>
      </c>
      <c r="AR237" s="1871" t="s">
        <v>393</v>
      </c>
      <c r="AT237" s="1180" t="s">
        <v>375</v>
      </c>
      <c r="AU237" s="1181"/>
      <c r="AV237" s="1220" t="e">
        <f>IF(BB237="",#N/A,SUM(AU243:BD243,AU248:BD248,AU253:BD253,AU258:BD258,AU263:BD263))</f>
        <v>#N/A</v>
      </c>
      <c r="AW237" s="1183" t="s">
        <v>376</v>
      </c>
      <c r="AX237" s="1184" t="s">
        <v>377</v>
      </c>
      <c r="AY237" s="1181"/>
      <c r="AZ237" s="1182" t="s">
        <v>378</v>
      </c>
      <c r="BA237" s="1181"/>
      <c r="BB237" s="1220" t="str">
        <f>IF(AND(BI239="",BI244="",BI249="",BI254="",BI259=""),"",SUM(BI239:BI262))</f>
        <v/>
      </c>
      <c r="BC237" s="1183" t="s">
        <v>379</v>
      </c>
      <c r="BD237" s="1185" t="s">
        <v>377</v>
      </c>
      <c r="BE237" s="1866" t="s">
        <v>380</v>
      </c>
      <c r="BF237" s="1867"/>
      <c r="BG237" s="1867"/>
      <c r="BH237" s="1867"/>
      <c r="BI237" s="1868"/>
      <c r="BJ237" s="1869" t="s">
        <v>389</v>
      </c>
      <c r="BK237" s="1869" t="s">
        <v>390</v>
      </c>
      <c r="BL237" s="1869" t="s">
        <v>391</v>
      </c>
      <c r="BM237" s="1869" t="s">
        <v>392</v>
      </c>
      <c r="BN237" s="1871" t="s">
        <v>393</v>
      </c>
    </row>
    <row r="238" spans="2:66" ht="13.5">
      <c r="B238" s="1186" t="s">
        <v>381</v>
      </c>
      <c r="C238" s="1187">
        <v>1</v>
      </c>
      <c r="D238" s="1218">
        <v>2</v>
      </c>
      <c r="E238" s="1188">
        <v>3</v>
      </c>
      <c r="F238" s="1188">
        <v>4</v>
      </c>
      <c r="G238" s="1188">
        <v>5</v>
      </c>
      <c r="H238" s="1188">
        <v>6</v>
      </c>
      <c r="I238" s="1218">
        <v>7</v>
      </c>
      <c r="J238" s="1218">
        <v>8</v>
      </c>
      <c r="K238" s="1218">
        <v>9</v>
      </c>
      <c r="L238" s="1219">
        <v>10</v>
      </c>
      <c r="M238" s="1189" t="s">
        <v>382</v>
      </c>
      <c r="N238" s="1190" t="s">
        <v>383</v>
      </c>
      <c r="O238" s="1191" t="s">
        <v>384</v>
      </c>
      <c r="P238" s="1192" t="s">
        <v>385</v>
      </c>
      <c r="Q238" s="1193" t="s">
        <v>386</v>
      </c>
      <c r="R238" s="1870"/>
      <c r="S238" s="1870"/>
      <c r="T238" s="1870"/>
      <c r="U238" s="1870"/>
      <c r="V238" s="1872"/>
      <c r="X238" s="1186" t="s">
        <v>381</v>
      </c>
      <c r="Y238" s="1187">
        <v>1</v>
      </c>
      <c r="Z238" s="1218">
        <v>2</v>
      </c>
      <c r="AA238" s="1188">
        <v>3</v>
      </c>
      <c r="AB238" s="1188">
        <v>4</v>
      </c>
      <c r="AC238" s="1188">
        <v>5</v>
      </c>
      <c r="AD238" s="1188">
        <v>6</v>
      </c>
      <c r="AE238" s="1218">
        <v>7</v>
      </c>
      <c r="AF238" s="1218">
        <v>8</v>
      </c>
      <c r="AG238" s="1218">
        <v>9</v>
      </c>
      <c r="AH238" s="1219">
        <v>10</v>
      </c>
      <c r="AI238" s="1189" t="s">
        <v>382</v>
      </c>
      <c r="AJ238" s="1190" t="s">
        <v>383</v>
      </c>
      <c r="AK238" s="1191" t="s">
        <v>384</v>
      </c>
      <c r="AL238" s="1192" t="s">
        <v>385</v>
      </c>
      <c r="AM238" s="1193" t="s">
        <v>386</v>
      </c>
      <c r="AN238" s="1870"/>
      <c r="AO238" s="1870"/>
      <c r="AP238" s="1870"/>
      <c r="AQ238" s="1870"/>
      <c r="AR238" s="1872"/>
      <c r="AT238" s="1186" t="s">
        <v>381</v>
      </c>
      <c r="AU238" s="1187">
        <v>1</v>
      </c>
      <c r="AV238" s="1218">
        <v>2</v>
      </c>
      <c r="AW238" s="1188">
        <v>3</v>
      </c>
      <c r="AX238" s="1188">
        <v>4</v>
      </c>
      <c r="AY238" s="1188">
        <v>5</v>
      </c>
      <c r="AZ238" s="1188">
        <v>6</v>
      </c>
      <c r="BA238" s="1218">
        <v>7</v>
      </c>
      <c r="BB238" s="1218">
        <v>8</v>
      </c>
      <c r="BC238" s="1218">
        <v>9</v>
      </c>
      <c r="BD238" s="1219">
        <v>10</v>
      </c>
      <c r="BE238" s="1189" t="s">
        <v>382</v>
      </c>
      <c r="BF238" s="1190" t="s">
        <v>383</v>
      </c>
      <c r="BG238" s="1191" t="s">
        <v>384</v>
      </c>
      <c r="BH238" s="1192" t="s">
        <v>385</v>
      </c>
      <c r="BI238" s="1193" t="s">
        <v>386</v>
      </c>
      <c r="BJ238" s="1870"/>
      <c r="BK238" s="1870"/>
      <c r="BL238" s="1870"/>
      <c r="BM238" s="1870"/>
      <c r="BN238" s="1872"/>
    </row>
    <row r="239" spans="2:66" ht="14.25" customHeight="1">
      <c r="B239" s="1194" t="s">
        <v>387</v>
      </c>
      <c r="C239" s="1195"/>
      <c r="D239" s="1196"/>
      <c r="E239" s="1196"/>
      <c r="F239" s="1196"/>
      <c r="G239" s="1196"/>
      <c r="H239" s="1196"/>
      <c r="I239" s="1196"/>
      <c r="J239" s="1196"/>
      <c r="K239" s="1196"/>
      <c r="L239" s="1197"/>
      <c r="M239" s="1858">
        <f>SUM(C239:L239)</f>
        <v>0</v>
      </c>
      <c r="N239" s="1860">
        <f>SUM(C240:L240)</f>
        <v>0</v>
      </c>
      <c r="O239" s="1860">
        <f>SUM(C241:L241)</f>
        <v>0</v>
      </c>
      <c r="P239" s="1862">
        <f>SUM(C242:L242)</f>
        <v>0</v>
      </c>
      <c r="Q239" s="1854" t="str">
        <f>IF(G236="","",SUM(N239:P243))</f>
        <v/>
      </c>
      <c r="R239" s="1856"/>
      <c r="S239" s="1856"/>
      <c r="T239" s="1856"/>
      <c r="U239" s="1856"/>
      <c r="V239" s="1864" t="s">
        <v>394</v>
      </c>
      <c r="X239" s="1194" t="s">
        <v>387</v>
      </c>
      <c r="Y239" s="1195"/>
      <c r="Z239" s="1196"/>
      <c r="AA239" s="1196"/>
      <c r="AB239" s="1196"/>
      <c r="AC239" s="1196"/>
      <c r="AD239" s="1196"/>
      <c r="AE239" s="1196"/>
      <c r="AF239" s="1196"/>
      <c r="AG239" s="1196"/>
      <c r="AH239" s="1197"/>
      <c r="AI239" s="1858">
        <f>SUM(Y239:AH239)</f>
        <v>0</v>
      </c>
      <c r="AJ239" s="1860">
        <f>SUM(Y240:AH240)</f>
        <v>0</v>
      </c>
      <c r="AK239" s="1860">
        <f>SUM(Y241:AH241)</f>
        <v>0</v>
      </c>
      <c r="AL239" s="1862">
        <f>SUM(Y242:AH242)</f>
        <v>0</v>
      </c>
      <c r="AM239" s="1854" t="str">
        <f>IF(AC236="","",SUM(AJ239:AL243))</f>
        <v/>
      </c>
      <c r="AN239" s="1856"/>
      <c r="AO239" s="1856"/>
      <c r="AP239" s="1856"/>
      <c r="AQ239" s="1856"/>
      <c r="AR239" s="1864" t="s">
        <v>394</v>
      </c>
      <c r="AT239" s="1194" t="s">
        <v>387</v>
      </c>
      <c r="AU239" s="1195"/>
      <c r="AV239" s="1196"/>
      <c r="AW239" s="1196"/>
      <c r="AX239" s="1196"/>
      <c r="AY239" s="1196"/>
      <c r="AZ239" s="1196"/>
      <c r="BA239" s="1196"/>
      <c r="BB239" s="1196"/>
      <c r="BC239" s="1196"/>
      <c r="BD239" s="1197"/>
      <c r="BE239" s="1858">
        <f>SUM(AU239:BD239)</f>
        <v>0</v>
      </c>
      <c r="BF239" s="1860">
        <f>SUM(AU240:BD240)</f>
        <v>0</v>
      </c>
      <c r="BG239" s="1860">
        <f>SUM(AU241:BD241)</f>
        <v>0</v>
      </c>
      <c r="BH239" s="1862">
        <f>SUM(AU242:BD242)</f>
        <v>0</v>
      </c>
      <c r="BI239" s="1854" t="str">
        <f>IF(AY236="","",SUM(BF239:BH243))</f>
        <v/>
      </c>
      <c r="BJ239" s="1856"/>
      <c r="BK239" s="1856"/>
      <c r="BL239" s="1856"/>
      <c r="BM239" s="1856"/>
      <c r="BN239" s="1864" t="s">
        <v>394</v>
      </c>
    </row>
    <row r="240" spans="2:66" ht="13.5">
      <c r="B240" s="1198" t="s">
        <v>383</v>
      </c>
      <c r="C240" s="1199"/>
      <c r="D240" s="1200"/>
      <c r="E240" s="1200"/>
      <c r="F240" s="1200"/>
      <c r="G240" s="1200"/>
      <c r="H240" s="1200"/>
      <c r="I240" s="1200"/>
      <c r="J240" s="1200"/>
      <c r="K240" s="1200"/>
      <c r="L240" s="1201"/>
      <c r="M240" s="1843"/>
      <c r="N240" s="1846"/>
      <c r="O240" s="1846"/>
      <c r="P240" s="1849"/>
      <c r="Q240" s="1852"/>
      <c r="R240" s="1840"/>
      <c r="S240" s="1840"/>
      <c r="T240" s="1840"/>
      <c r="U240" s="1840"/>
      <c r="V240" s="1837"/>
      <c r="X240" s="1198" t="s">
        <v>383</v>
      </c>
      <c r="Y240" s="1199"/>
      <c r="Z240" s="1200"/>
      <c r="AA240" s="1200"/>
      <c r="AB240" s="1200"/>
      <c r="AC240" s="1200"/>
      <c r="AD240" s="1200"/>
      <c r="AE240" s="1200"/>
      <c r="AF240" s="1200"/>
      <c r="AG240" s="1200"/>
      <c r="AH240" s="1201"/>
      <c r="AI240" s="1843"/>
      <c r="AJ240" s="1846"/>
      <c r="AK240" s="1846"/>
      <c r="AL240" s="1849"/>
      <c r="AM240" s="1852"/>
      <c r="AN240" s="1840"/>
      <c r="AO240" s="1840"/>
      <c r="AP240" s="1840"/>
      <c r="AQ240" s="1840"/>
      <c r="AR240" s="1837"/>
      <c r="AT240" s="1198" t="s">
        <v>383</v>
      </c>
      <c r="AU240" s="1199"/>
      <c r="AV240" s="1200"/>
      <c r="AW240" s="1200"/>
      <c r="AX240" s="1200"/>
      <c r="AY240" s="1200"/>
      <c r="AZ240" s="1200"/>
      <c r="BA240" s="1200"/>
      <c r="BB240" s="1200"/>
      <c r="BC240" s="1200"/>
      <c r="BD240" s="1201"/>
      <c r="BE240" s="1843"/>
      <c r="BF240" s="1846"/>
      <c r="BG240" s="1846"/>
      <c r="BH240" s="1849"/>
      <c r="BI240" s="1852"/>
      <c r="BJ240" s="1840"/>
      <c r="BK240" s="1840"/>
      <c r="BL240" s="1840"/>
      <c r="BM240" s="1840"/>
      <c r="BN240" s="1837"/>
    </row>
    <row r="241" spans="2:66" ht="13.5">
      <c r="B241" s="1202" t="s">
        <v>384</v>
      </c>
      <c r="C241" s="1203"/>
      <c r="D241" s="1204"/>
      <c r="E241" s="1204"/>
      <c r="F241" s="1204"/>
      <c r="G241" s="1204"/>
      <c r="H241" s="1204"/>
      <c r="I241" s="1204"/>
      <c r="J241" s="1204"/>
      <c r="K241" s="1204"/>
      <c r="L241" s="1205"/>
      <c r="M241" s="1843"/>
      <c r="N241" s="1846"/>
      <c r="O241" s="1846"/>
      <c r="P241" s="1849"/>
      <c r="Q241" s="1852"/>
      <c r="R241" s="1840"/>
      <c r="S241" s="1840"/>
      <c r="T241" s="1840"/>
      <c r="U241" s="1840"/>
      <c r="V241" s="1837"/>
      <c r="X241" s="1202" t="s">
        <v>384</v>
      </c>
      <c r="Y241" s="1203"/>
      <c r="Z241" s="1204"/>
      <c r="AA241" s="1204"/>
      <c r="AB241" s="1204"/>
      <c r="AC241" s="1204"/>
      <c r="AD241" s="1204"/>
      <c r="AE241" s="1204"/>
      <c r="AF241" s="1204"/>
      <c r="AG241" s="1204"/>
      <c r="AH241" s="1205"/>
      <c r="AI241" s="1843"/>
      <c r="AJ241" s="1846"/>
      <c r="AK241" s="1846"/>
      <c r="AL241" s="1849"/>
      <c r="AM241" s="1852"/>
      <c r="AN241" s="1840"/>
      <c r="AO241" s="1840"/>
      <c r="AP241" s="1840"/>
      <c r="AQ241" s="1840"/>
      <c r="AR241" s="1837"/>
      <c r="AT241" s="1202" t="s">
        <v>384</v>
      </c>
      <c r="AU241" s="1203"/>
      <c r="AV241" s="1204"/>
      <c r="AW241" s="1204"/>
      <c r="AX241" s="1204"/>
      <c r="AY241" s="1204"/>
      <c r="AZ241" s="1204"/>
      <c r="BA241" s="1204"/>
      <c r="BB241" s="1204"/>
      <c r="BC241" s="1204"/>
      <c r="BD241" s="1205"/>
      <c r="BE241" s="1843"/>
      <c r="BF241" s="1846"/>
      <c r="BG241" s="1846"/>
      <c r="BH241" s="1849"/>
      <c r="BI241" s="1852"/>
      <c r="BJ241" s="1840"/>
      <c r="BK241" s="1840"/>
      <c r="BL241" s="1840"/>
      <c r="BM241" s="1840"/>
      <c r="BN241" s="1837"/>
    </row>
    <row r="242" spans="2:66" ht="13.5">
      <c r="B242" s="1206" t="s">
        <v>385</v>
      </c>
      <c r="C242" s="1207"/>
      <c r="D242" s="1208"/>
      <c r="E242" s="1208"/>
      <c r="F242" s="1208"/>
      <c r="G242" s="1208"/>
      <c r="H242" s="1208"/>
      <c r="I242" s="1208"/>
      <c r="J242" s="1208"/>
      <c r="K242" s="1208"/>
      <c r="L242" s="1209"/>
      <c r="M242" s="1843"/>
      <c r="N242" s="1846"/>
      <c r="O242" s="1846"/>
      <c r="P242" s="1849"/>
      <c r="Q242" s="1852"/>
      <c r="R242" s="1840"/>
      <c r="S242" s="1840"/>
      <c r="T242" s="1840"/>
      <c r="U242" s="1840"/>
      <c r="V242" s="1837"/>
      <c r="X242" s="1206" t="s">
        <v>385</v>
      </c>
      <c r="Y242" s="1207"/>
      <c r="Z242" s="1208"/>
      <c r="AA242" s="1208"/>
      <c r="AB242" s="1208"/>
      <c r="AC242" s="1208"/>
      <c r="AD242" s="1208"/>
      <c r="AE242" s="1208"/>
      <c r="AF242" s="1208"/>
      <c r="AG242" s="1208"/>
      <c r="AH242" s="1209"/>
      <c r="AI242" s="1843"/>
      <c r="AJ242" s="1846"/>
      <c r="AK242" s="1846"/>
      <c r="AL242" s="1849"/>
      <c r="AM242" s="1852"/>
      <c r="AN242" s="1840"/>
      <c r="AO242" s="1840"/>
      <c r="AP242" s="1840"/>
      <c r="AQ242" s="1840"/>
      <c r="AR242" s="1837"/>
      <c r="AT242" s="1206" t="s">
        <v>385</v>
      </c>
      <c r="AU242" s="1207"/>
      <c r="AV242" s="1208"/>
      <c r="AW242" s="1208"/>
      <c r="AX242" s="1208"/>
      <c r="AY242" s="1208"/>
      <c r="AZ242" s="1208"/>
      <c r="BA242" s="1208"/>
      <c r="BB242" s="1208"/>
      <c r="BC242" s="1208"/>
      <c r="BD242" s="1209"/>
      <c r="BE242" s="1843"/>
      <c r="BF242" s="1846"/>
      <c r="BG242" s="1846"/>
      <c r="BH242" s="1849"/>
      <c r="BI242" s="1852"/>
      <c r="BJ242" s="1840"/>
      <c r="BK242" s="1840"/>
      <c r="BL242" s="1840"/>
      <c r="BM242" s="1840"/>
      <c r="BN242" s="1837"/>
    </row>
    <row r="243" spans="2:66" ht="14" thickBot="1">
      <c r="B243" s="1210" t="s">
        <v>388</v>
      </c>
      <c r="C243" s="1221" t="str">
        <f>IF(OR(C240&gt;0,C241&gt;0,C242&gt;0),1,"")</f>
        <v/>
      </c>
      <c r="D243" s="1222" t="str">
        <f>IF(OR(D240&gt;0,D241&gt;0,D242&gt;0),1,"")</f>
        <v/>
      </c>
      <c r="E243" s="1222" t="str">
        <f t="shared" ref="E243:L243" si="120">IF(OR(E240&gt;0,E241&gt;0,E242&gt;0),1,"")</f>
        <v/>
      </c>
      <c r="F243" s="1222" t="str">
        <f t="shared" si="120"/>
        <v/>
      </c>
      <c r="G243" s="1222" t="str">
        <f t="shared" si="120"/>
        <v/>
      </c>
      <c r="H243" s="1222" t="str">
        <f t="shared" si="120"/>
        <v/>
      </c>
      <c r="I243" s="1222" t="str">
        <f t="shared" si="120"/>
        <v/>
      </c>
      <c r="J243" s="1222" t="str">
        <f t="shared" si="120"/>
        <v/>
      </c>
      <c r="K243" s="1222" t="str">
        <f t="shared" si="120"/>
        <v/>
      </c>
      <c r="L243" s="1222" t="str">
        <f t="shared" si="120"/>
        <v/>
      </c>
      <c r="M243" s="1859"/>
      <c r="N243" s="1861"/>
      <c r="O243" s="1861"/>
      <c r="P243" s="1863"/>
      <c r="Q243" s="1855"/>
      <c r="R243" s="1857"/>
      <c r="S243" s="1857"/>
      <c r="T243" s="1857"/>
      <c r="U243" s="1857"/>
      <c r="V243" s="1865"/>
      <c r="X243" s="1210" t="s">
        <v>388</v>
      </c>
      <c r="Y243" s="1221" t="str">
        <f>IF(OR(Y240&gt;0,Y241&gt;0,Y242&gt;0),1,"")</f>
        <v/>
      </c>
      <c r="Z243" s="1222" t="str">
        <f>IF(OR(Z240&gt;0,Z241&gt;0,Z242&gt;0),1,"")</f>
        <v/>
      </c>
      <c r="AA243" s="1222" t="str">
        <f t="shared" ref="AA243:AH243" si="121">IF(OR(AA240&gt;0,AA241&gt;0,AA242&gt;0),1,"")</f>
        <v/>
      </c>
      <c r="AB243" s="1222" t="str">
        <f t="shared" si="121"/>
        <v/>
      </c>
      <c r="AC243" s="1222" t="str">
        <f t="shared" si="121"/>
        <v/>
      </c>
      <c r="AD243" s="1222" t="str">
        <f t="shared" si="121"/>
        <v/>
      </c>
      <c r="AE243" s="1222" t="str">
        <f t="shared" si="121"/>
        <v/>
      </c>
      <c r="AF243" s="1222" t="str">
        <f t="shared" si="121"/>
        <v/>
      </c>
      <c r="AG243" s="1222" t="str">
        <f t="shared" si="121"/>
        <v/>
      </c>
      <c r="AH243" s="1222" t="str">
        <f t="shared" si="121"/>
        <v/>
      </c>
      <c r="AI243" s="1859"/>
      <c r="AJ243" s="1861"/>
      <c r="AK243" s="1861"/>
      <c r="AL243" s="1863"/>
      <c r="AM243" s="1855"/>
      <c r="AN243" s="1857"/>
      <c r="AO243" s="1857"/>
      <c r="AP243" s="1857"/>
      <c r="AQ243" s="1857"/>
      <c r="AR243" s="1865"/>
      <c r="AT243" s="1210" t="s">
        <v>388</v>
      </c>
      <c r="AU243" s="1221" t="str">
        <f>IF(OR(AU240&gt;0,AU241&gt;0,AU242&gt;0),1,"")</f>
        <v/>
      </c>
      <c r="AV243" s="1222" t="str">
        <f>IF(OR(AV240&gt;0,AV241&gt;0,AV242&gt;0),1,"")</f>
        <v/>
      </c>
      <c r="AW243" s="1222" t="str">
        <f t="shared" ref="AW243:BD243" si="122">IF(OR(AW240&gt;0,AW241&gt;0,AW242&gt;0),1,"")</f>
        <v/>
      </c>
      <c r="AX243" s="1222" t="str">
        <f t="shared" si="122"/>
        <v/>
      </c>
      <c r="AY243" s="1222" t="str">
        <f t="shared" si="122"/>
        <v/>
      </c>
      <c r="AZ243" s="1222" t="str">
        <f t="shared" si="122"/>
        <v/>
      </c>
      <c r="BA243" s="1222" t="str">
        <f t="shared" si="122"/>
        <v/>
      </c>
      <c r="BB243" s="1222" t="str">
        <f t="shared" si="122"/>
        <v/>
      </c>
      <c r="BC243" s="1222" t="str">
        <f t="shared" si="122"/>
        <v/>
      </c>
      <c r="BD243" s="1222" t="str">
        <f t="shared" si="122"/>
        <v/>
      </c>
      <c r="BE243" s="1859"/>
      <c r="BF243" s="1861"/>
      <c r="BG243" s="1861"/>
      <c r="BH243" s="1863"/>
      <c r="BI243" s="1855"/>
      <c r="BJ243" s="1857"/>
      <c r="BK243" s="1857"/>
      <c r="BL243" s="1857"/>
      <c r="BM243" s="1857"/>
      <c r="BN243" s="1865"/>
    </row>
    <row r="244" spans="2:66" ht="15" customHeight="1" thickTop="1">
      <c r="B244" s="1211" t="s">
        <v>387</v>
      </c>
      <c r="C244" s="1212"/>
      <c r="D244" s="1213"/>
      <c r="E244" s="1213"/>
      <c r="F244" s="1213"/>
      <c r="G244" s="1213"/>
      <c r="H244" s="1213"/>
      <c r="I244" s="1213"/>
      <c r="J244" s="1213"/>
      <c r="K244" s="1213"/>
      <c r="L244" s="1214"/>
      <c r="M244" s="1858">
        <f>SUM(C244:L244)</f>
        <v>0</v>
      </c>
      <c r="N244" s="1860">
        <f>SUM(C245:L245)</f>
        <v>0</v>
      </c>
      <c r="O244" s="1860">
        <f>SUM(C246:L246)</f>
        <v>0</v>
      </c>
      <c r="P244" s="1862">
        <f>SUM(C247:L247)</f>
        <v>0</v>
      </c>
      <c r="Q244" s="1854" t="str">
        <f>IF(G236="","",SUM(N244:P248))</f>
        <v/>
      </c>
      <c r="R244" s="1856"/>
      <c r="S244" s="1856"/>
      <c r="T244" s="1856"/>
      <c r="U244" s="1856"/>
      <c r="V244" s="1864" t="s">
        <v>395</v>
      </c>
      <c r="X244" s="1211" t="s">
        <v>387</v>
      </c>
      <c r="Y244" s="1212"/>
      <c r="Z244" s="1213"/>
      <c r="AA244" s="1213"/>
      <c r="AB244" s="1213"/>
      <c r="AC244" s="1213"/>
      <c r="AD244" s="1213"/>
      <c r="AE244" s="1213"/>
      <c r="AF244" s="1213"/>
      <c r="AG244" s="1213"/>
      <c r="AH244" s="1214"/>
      <c r="AI244" s="1858">
        <f>SUM(Y244:AH244)</f>
        <v>0</v>
      </c>
      <c r="AJ244" s="1860">
        <f>SUM(Y245:AH245)</f>
        <v>0</v>
      </c>
      <c r="AK244" s="1860">
        <f>SUM(Y246:AH246)</f>
        <v>0</v>
      </c>
      <c r="AL244" s="1862">
        <f>SUM(Y247:AH247)</f>
        <v>0</v>
      </c>
      <c r="AM244" s="1854" t="str">
        <f>IF(AC236="","",SUM(AJ244:AL248))</f>
        <v/>
      </c>
      <c r="AN244" s="1856"/>
      <c r="AO244" s="1856"/>
      <c r="AP244" s="1856"/>
      <c r="AQ244" s="1856"/>
      <c r="AR244" s="1864" t="s">
        <v>395</v>
      </c>
      <c r="AT244" s="1211" t="s">
        <v>387</v>
      </c>
      <c r="AU244" s="1212"/>
      <c r="AV244" s="1213"/>
      <c r="AW244" s="1213"/>
      <c r="AX244" s="1213"/>
      <c r="AY244" s="1213"/>
      <c r="AZ244" s="1213"/>
      <c r="BA244" s="1213"/>
      <c r="BB244" s="1213"/>
      <c r="BC244" s="1213"/>
      <c r="BD244" s="1214"/>
      <c r="BE244" s="1858">
        <f>SUM(AU244:BD244)</f>
        <v>0</v>
      </c>
      <c r="BF244" s="1860">
        <f>SUM(AU245:BD245)</f>
        <v>0</v>
      </c>
      <c r="BG244" s="1860">
        <f>SUM(AU246:BD246)</f>
        <v>0</v>
      </c>
      <c r="BH244" s="1862">
        <f>SUM(AU247:BD247)</f>
        <v>0</v>
      </c>
      <c r="BI244" s="1854" t="str">
        <f>IF(AY236="","",SUM(BF244:BH248))</f>
        <v/>
      </c>
      <c r="BJ244" s="1856"/>
      <c r="BK244" s="1856"/>
      <c r="BL244" s="1856"/>
      <c r="BM244" s="1856"/>
      <c r="BN244" s="1864" t="s">
        <v>395</v>
      </c>
    </row>
    <row r="245" spans="2:66" ht="13.5">
      <c r="B245" s="1198" t="s">
        <v>383</v>
      </c>
      <c r="C245" s="1199"/>
      <c r="D245" s="1200"/>
      <c r="E245" s="1200"/>
      <c r="F245" s="1200"/>
      <c r="G245" s="1200"/>
      <c r="H245" s="1200"/>
      <c r="I245" s="1200"/>
      <c r="J245" s="1200"/>
      <c r="K245" s="1200"/>
      <c r="L245" s="1201"/>
      <c r="M245" s="1843"/>
      <c r="N245" s="1846"/>
      <c r="O245" s="1846"/>
      <c r="P245" s="1849"/>
      <c r="Q245" s="1852"/>
      <c r="R245" s="1840"/>
      <c r="S245" s="1840"/>
      <c r="T245" s="1840"/>
      <c r="U245" s="1840"/>
      <c r="V245" s="1837"/>
      <c r="X245" s="1198" t="s">
        <v>383</v>
      </c>
      <c r="Y245" s="1199"/>
      <c r="Z245" s="1200"/>
      <c r="AA245" s="1200"/>
      <c r="AB245" s="1200"/>
      <c r="AC245" s="1200"/>
      <c r="AD245" s="1200"/>
      <c r="AE245" s="1200"/>
      <c r="AF245" s="1200"/>
      <c r="AG245" s="1200"/>
      <c r="AH245" s="1201"/>
      <c r="AI245" s="1843"/>
      <c r="AJ245" s="1846"/>
      <c r="AK245" s="1846"/>
      <c r="AL245" s="1849"/>
      <c r="AM245" s="1852"/>
      <c r="AN245" s="1840"/>
      <c r="AO245" s="1840"/>
      <c r="AP245" s="1840"/>
      <c r="AQ245" s="1840"/>
      <c r="AR245" s="1837"/>
      <c r="AT245" s="1198" t="s">
        <v>383</v>
      </c>
      <c r="AU245" s="1199"/>
      <c r="AV245" s="1200"/>
      <c r="AW245" s="1200"/>
      <c r="AX245" s="1200"/>
      <c r="AY245" s="1200"/>
      <c r="AZ245" s="1200"/>
      <c r="BA245" s="1200"/>
      <c r="BB245" s="1200"/>
      <c r="BC245" s="1200"/>
      <c r="BD245" s="1201"/>
      <c r="BE245" s="1843"/>
      <c r="BF245" s="1846"/>
      <c r="BG245" s="1846"/>
      <c r="BH245" s="1849"/>
      <c r="BI245" s="1852"/>
      <c r="BJ245" s="1840"/>
      <c r="BK245" s="1840"/>
      <c r="BL245" s="1840"/>
      <c r="BM245" s="1840"/>
      <c r="BN245" s="1837"/>
    </row>
    <row r="246" spans="2:66" ht="13.5">
      <c r="B246" s="1202" t="s">
        <v>384</v>
      </c>
      <c r="C246" s="1203"/>
      <c r="D246" s="1204"/>
      <c r="E246" s="1204"/>
      <c r="F246" s="1204"/>
      <c r="G246" s="1204"/>
      <c r="H246" s="1204"/>
      <c r="I246" s="1204"/>
      <c r="J246" s="1204"/>
      <c r="K246" s="1204"/>
      <c r="L246" s="1205"/>
      <c r="M246" s="1843"/>
      <c r="N246" s="1846"/>
      <c r="O246" s="1846"/>
      <c r="P246" s="1849"/>
      <c r="Q246" s="1852"/>
      <c r="R246" s="1840"/>
      <c r="S246" s="1840"/>
      <c r="T246" s="1840"/>
      <c r="U246" s="1840"/>
      <c r="V246" s="1837"/>
      <c r="X246" s="1202" t="s">
        <v>384</v>
      </c>
      <c r="Y246" s="1203"/>
      <c r="Z246" s="1204"/>
      <c r="AA246" s="1204"/>
      <c r="AB246" s="1204"/>
      <c r="AC246" s="1204"/>
      <c r="AD246" s="1204"/>
      <c r="AE246" s="1204"/>
      <c r="AF246" s="1204"/>
      <c r="AG246" s="1204"/>
      <c r="AH246" s="1205"/>
      <c r="AI246" s="1843"/>
      <c r="AJ246" s="1846"/>
      <c r="AK246" s="1846"/>
      <c r="AL246" s="1849"/>
      <c r="AM246" s="1852"/>
      <c r="AN246" s="1840"/>
      <c r="AO246" s="1840"/>
      <c r="AP246" s="1840"/>
      <c r="AQ246" s="1840"/>
      <c r="AR246" s="1837"/>
      <c r="AT246" s="1202" t="s">
        <v>384</v>
      </c>
      <c r="AU246" s="1203"/>
      <c r="AV246" s="1204"/>
      <c r="AW246" s="1204"/>
      <c r="AX246" s="1204"/>
      <c r="AY246" s="1204"/>
      <c r="AZ246" s="1204"/>
      <c r="BA246" s="1204"/>
      <c r="BB246" s="1204"/>
      <c r="BC246" s="1204"/>
      <c r="BD246" s="1205"/>
      <c r="BE246" s="1843"/>
      <c r="BF246" s="1846"/>
      <c r="BG246" s="1846"/>
      <c r="BH246" s="1849"/>
      <c r="BI246" s="1852"/>
      <c r="BJ246" s="1840"/>
      <c r="BK246" s="1840"/>
      <c r="BL246" s="1840"/>
      <c r="BM246" s="1840"/>
      <c r="BN246" s="1837"/>
    </row>
    <row r="247" spans="2:66" ht="13.5">
      <c r="B247" s="1202" t="s">
        <v>385</v>
      </c>
      <c r="C247" s="1203"/>
      <c r="D247" s="1204"/>
      <c r="E247" s="1204"/>
      <c r="F247" s="1204"/>
      <c r="G247" s="1204"/>
      <c r="H247" s="1204"/>
      <c r="I247" s="1204"/>
      <c r="J247" s="1204"/>
      <c r="K247" s="1204"/>
      <c r="L247" s="1205"/>
      <c r="M247" s="1843"/>
      <c r="N247" s="1846"/>
      <c r="O247" s="1846"/>
      <c r="P247" s="1849"/>
      <c r="Q247" s="1852"/>
      <c r="R247" s="1840"/>
      <c r="S247" s="1840"/>
      <c r="T247" s="1840"/>
      <c r="U247" s="1840"/>
      <c r="V247" s="1837"/>
      <c r="X247" s="1202" t="s">
        <v>385</v>
      </c>
      <c r="Y247" s="1203"/>
      <c r="Z247" s="1204"/>
      <c r="AA247" s="1204"/>
      <c r="AB247" s="1204"/>
      <c r="AC247" s="1204"/>
      <c r="AD247" s="1204"/>
      <c r="AE247" s="1204"/>
      <c r="AF247" s="1204"/>
      <c r="AG247" s="1204"/>
      <c r="AH247" s="1205"/>
      <c r="AI247" s="1843"/>
      <c r="AJ247" s="1846"/>
      <c r="AK247" s="1846"/>
      <c r="AL247" s="1849"/>
      <c r="AM247" s="1852"/>
      <c r="AN247" s="1840"/>
      <c r="AO247" s="1840"/>
      <c r="AP247" s="1840"/>
      <c r="AQ247" s="1840"/>
      <c r="AR247" s="1837"/>
      <c r="AT247" s="1202" t="s">
        <v>385</v>
      </c>
      <c r="AU247" s="1203"/>
      <c r="AV247" s="1204"/>
      <c r="AW247" s="1204"/>
      <c r="AX247" s="1204"/>
      <c r="AY247" s="1204"/>
      <c r="AZ247" s="1204"/>
      <c r="BA247" s="1204"/>
      <c r="BB247" s="1204"/>
      <c r="BC247" s="1204"/>
      <c r="BD247" s="1205"/>
      <c r="BE247" s="1843"/>
      <c r="BF247" s="1846"/>
      <c r="BG247" s="1846"/>
      <c r="BH247" s="1849"/>
      <c r="BI247" s="1852"/>
      <c r="BJ247" s="1840"/>
      <c r="BK247" s="1840"/>
      <c r="BL247" s="1840"/>
      <c r="BM247" s="1840"/>
      <c r="BN247" s="1837"/>
    </row>
    <row r="248" spans="2:66" ht="14" thickBot="1">
      <c r="B248" s="1210" t="s">
        <v>388</v>
      </c>
      <c r="C248" s="1221" t="str">
        <f>IF(OR(C245&gt;0,C246&gt;0,C247&gt;0),1,"")</f>
        <v/>
      </c>
      <c r="D248" s="1222" t="str">
        <f>IF(OR(D245&gt;0,D246&gt;0,D247&gt;0),1,"")</f>
        <v/>
      </c>
      <c r="E248" s="1222" t="str">
        <f t="shared" ref="E248:L248" si="123">IF(OR(E245&gt;0,E246&gt;0,E247&gt;0),1,"")</f>
        <v/>
      </c>
      <c r="F248" s="1222" t="str">
        <f t="shared" si="123"/>
        <v/>
      </c>
      <c r="G248" s="1222" t="str">
        <f t="shared" si="123"/>
        <v/>
      </c>
      <c r="H248" s="1222" t="str">
        <f t="shared" si="123"/>
        <v/>
      </c>
      <c r="I248" s="1222" t="str">
        <f t="shared" si="123"/>
        <v/>
      </c>
      <c r="J248" s="1222" t="str">
        <f t="shared" si="123"/>
        <v/>
      </c>
      <c r="K248" s="1222" t="str">
        <f t="shared" si="123"/>
        <v/>
      </c>
      <c r="L248" s="1222" t="str">
        <f t="shared" si="123"/>
        <v/>
      </c>
      <c r="M248" s="1859"/>
      <c r="N248" s="1861"/>
      <c r="O248" s="1861"/>
      <c r="P248" s="1863"/>
      <c r="Q248" s="1855"/>
      <c r="R248" s="1857"/>
      <c r="S248" s="1857"/>
      <c r="T248" s="1857"/>
      <c r="U248" s="1857"/>
      <c r="V248" s="1865"/>
      <c r="X248" s="1210" t="s">
        <v>388</v>
      </c>
      <c r="Y248" s="1221" t="str">
        <f>IF(OR(Y245&gt;0,Y246&gt;0,Y247&gt;0),1,"")</f>
        <v/>
      </c>
      <c r="Z248" s="1222" t="str">
        <f>IF(OR(Z245&gt;0,Z246&gt;0,Z247&gt;0),1,"")</f>
        <v/>
      </c>
      <c r="AA248" s="1222" t="str">
        <f t="shared" ref="AA248:AH248" si="124">IF(OR(AA245&gt;0,AA246&gt;0,AA247&gt;0),1,"")</f>
        <v/>
      </c>
      <c r="AB248" s="1222" t="str">
        <f t="shared" si="124"/>
        <v/>
      </c>
      <c r="AC248" s="1222" t="str">
        <f t="shared" si="124"/>
        <v/>
      </c>
      <c r="AD248" s="1222" t="str">
        <f t="shared" si="124"/>
        <v/>
      </c>
      <c r="AE248" s="1222" t="str">
        <f t="shared" si="124"/>
        <v/>
      </c>
      <c r="AF248" s="1222" t="str">
        <f t="shared" si="124"/>
        <v/>
      </c>
      <c r="AG248" s="1222" t="str">
        <f t="shared" si="124"/>
        <v/>
      </c>
      <c r="AH248" s="1222" t="str">
        <f t="shared" si="124"/>
        <v/>
      </c>
      <c r="AI248" s="1859"/>
      <c r="AJ248" s="1861"/>
      <c r="AK248" s="1861"/>
      <c r="AL248" s="1863"/>
      <c r="AM248" s="1855"/>
      <c r="AN248" s="1857"/>
      <c r="AO248" s="1857"/>
      <c r="AP248" s="1857"/>
      <c r="AQ248" s="1857"/>
      <c r="AR248" s="1865"/>
      <c r="AT248" s="1210" t="s">
        <v>388</v>
      </c>
      <c r="AU248" s="1221" t="str">
        <f>IF(OR(AU245&gt;0,AU246&gt;0,AU247&gt;0),1,"")</f>
        <v/>
      </c>
      <c r="AV248" s="1222" t="str">
        <f>IF(OR(AV245&gt;0,AV246&gt;0,AV247&gt;0),1,"")</f>
        <v/>
      </c>
      <c r="AW248" s="1222" t="str">
        <f t="shared" ref="AW248:BD248" si="125">IF(OR(AW245&gt;0,AW246&gt;0,AW247&gt;0),1,"")</f>
        <v/>
      </c>
      <c r="AX248" s="1222" t="str">
        <f t="shared" si="125"/>
        <v/>
      </c>
      <c r="AY248" s="1222" t="str">
        <f t="shared" si="125"/>
        <v/>
      </c>
      <c r="AZ248" s="1222" t="str">
        <f t="shared" si="125"/>
        <v/>
      </c>
      <c r="BA248" s="1222" t="str">
        <f t="shared" si="125"/>
        <v/>
      </c>
      <c r="BB248" s="1222" t="str">
        <f t="shared" si="125"/>
        <v/>
      </c>
      <c r="BC248" s="1222" t="str">
        <f t="shared" si="125"/>
        <v/>
      </c>
      <c r="BD248" s="1222" t="str">
        <f t="shared" si="125"/>
        <v/>
      </c>
      <c r="BE248" s="1859"/>
      <c r="BF248" s="1861"/>
      <c r="BG248" s="1861"/>
      <c r="BH248" s="1863"/>
      <c r="BI248" s="1855"/>
      <c r="BJ248" s="1857"/>
      <c r="BK248" s="1857"/>
      <c r="BL248" s="1857"/>
      <c r="BM248" s="1857"/>
      <c r="BN248" s="1865"/>
    </row>
    <row r="249" spans="2:66" ht="15" customHeight="1" thickTop="1">
      <c r="B249" s="1194" t="s">
        <v>387</v>
      </c>
      <c r="C249" s="1195"/>
      <c r="D249" s="1196"/>
      <c r="E249" s="1196"/>
      <c r="F249" s="1196"/>
      <c r="G249" s="1196"/>
      <c r="H249" s="1196"/>
      <c r="I249" s="1196"/>
      <c r="J249" s="1196"/>
      <c r="K249" s="1196"/>
      <c r="L249" s="1197"/>
      <c r="M249" s="1858">
        <f>SUM(C249:L249)</f>
        <v>0</v>
      </c>
      <c r="N249" s="1860">
        <f>SUM(C250:L250)</f>
        <v>0</v>
      </c>
      <c r="O249" s="1860">
        <f>SUM(C251:L251)</f>
        <v>0</v>
      </c>
      <c r="P249" s="1862">
        <f>SUM(C252:L252)</f>
        <v>0</v>
      </c>
      <c r="Q249" s="1854" t="str">
        <f>IF(G236="","",SUM(N249:P253))</f>
        <v/>
      </c>
      <c r="R249" s="1856"/>
      <c r="S249" s="1856"/>
      <c r="T249" s="1856"/>
      <c r="U249" s="1856"/>
      <c r="V249" s="1864" t="s">
        <v>395</v>
      </c>
      <c r="X249" s="1194" t="s">
        <v>387</v>
      </c>
      <c r="Y249" s="1195"/>
      <c r="Z249" s="1196"/>
      <c r="AA249" s="1196"/>
      <c r="AB249" s="1196"/>
      <c r="AC249" s="1196"/>
      <c r="AD249" s="1196"/>
      <c r="AE249" s="1196"/>
      <c r="AF249" s="1196"/>
      <c r="AG249" s="1196"/>
      <c r="AH249" s="1197"/>
      <c r="AI249" s="1858">
        <f>SUM(Y249:AH249)</f>
        <v>0</v>
      </c>
      <c r="AJ249" s="1860">
        <f>SUM(Y250:AH250)</f>
        <v>0</v>
      </c>
      <c r="AK249" s="1860">
        <f>SUM(Y251:AH251)</f>
        <v>0</v>
      </c>
      <c r="AL249" s="1862">
        <f>SUM(Y252:AH252)</f>
        <v>0</v>
      </c>
      <c r="AM249" s="1854" t="str">
        <f>IF(AC236="","",SUM(AJ249:AL253))</f>
        <v/>
      </c>
      <c r="AN249" s="1856"/>
      <c r="AO249" s="1856"/>
      <c r="AP249" s="1856"/>
      <c r="AQ249" s="1856"/>
      <c r="AR249" s="1864" t="s">
        <v>395</v>
      </c>
      <c r="AT249" s="1194" t="s">
        <v>387</v>
      </c>
      <c r="AU249" s="1195"/>
      <c r="AV249" s="1196"/>
      <c r="AW249" s="1196"/>
      <c r="AX249" s="1196"/>
      <c r="AY249" s="1196"/>
      <c r="AZ249" s="1196"/>
      <c r="BA249" s="1196"/>
      <c r="BB249" s="1196"/>
      <c r="BC249" s="1196"/>
      <c r="BD249" s="1197"/>
      <c r="BE249" s="1858">
        <f>SUM(AU249:BD249)</f>
        <v>0</v>
      </c>
      <c r="BF249" s="1860">
        <f>SUM(AU250:BD250)</f>
        <v>0</v>
      </c>
      <c r="BG249" s="1860">
        <f>SUM(AU251:BD251)</f>
        <v>0</v>
      </c>
      <c r="BH249" s="1862">
        <f>SUM(AU252:BD252)</f>
        <v>0</v>
      </c>
      <c r="BI249" s="1854" t="str">
        <f>IF(AY236="","",SUM(BF249:BH253))</f>
        <v/>
      </c>
      <c r="BJ249" s="1856"/>
      <c r="BK249" s="1856"/>
      <c r="BL249" s="1856"/>
      <c r="BM249" s="1856"/>
      <c r="BN249" s="1864" t="s">
        <v>395</v>
      </c>
    </row>
    <row r="250" spans="2:66" ht="13.5">
      <c r="B250" s="1198" t="s">
        <v>383</v>
      </c>
      <c r="C250" s="1199"/>
      <c r="D250" s="1200"/>
      <c r="E250" s="1200"/>
      <c r="F250" s="1200"/>
      <c r="G250" s="1200"/>
      <c r="H250" s="1200"/>
      <c r="I250" s="1200"/>
      <c r="J250" s="1200"/>
      <c r="K250" s="1200"/>
      <c r="L250" s="1201"/>
      <c r="M250" s="1843"/>
      <c r="N250" s="1846"/>
      <c r="O250" s="1846"/>
      <c r="P250" s="1849"/>
      <c r="Q250" s="1852"/>
      <c r="R250" s="1840"/>
      <c r="S250" s="1840"/>
      <c r="T250" s="1840"/>
      <c r="U250" s="1840"/>
      <c r="V250" s="1837"/>
      <c r="X250" s="1198" t="s">
        <v>383</v>
      </c>
      <c r="Y250" s="1199"/>
      <c r="Z250" s="1200"/>
      <c r="AA250" s="1200"/>
      <c r="AB250" s="1200"/>
      <c r="AC250" s="1200"/>
      <c r="AD250" s="1200"/>
      <c r="AE250" s="1200"/>
      <c r="AF250" s="1200"/>
      <c r="AG250" s="1200"/>
      <c r="AH250" s="1201"/>
      <c r="AI250" s="1843"/>
      <c r="AJ250" s="1846"/>
      <c r="AK250" s="1846"/>
      <c r="AL250" s="1849"/>
      <c r="AM250" s="1852"/>
      <c r="AN250" s="1840"/>
      <c r="AO250" s="1840"/>
      <c r="AP250" s="1840"/>
      <c r="AQ250" s="1840"/>
      <c r="AR250" s="1837"/>
      <c r="AT250" s="1198" t="s">
        <v>383</v>
      </c>
      <c r="AU250" s="1199"/>
      <c r="AV250" s="1200"/>
      <c r="AW250" s="1200"/>
      <c r="AX250" s="1200"/>
      <c r="AY250" s="1200"/>
      <c r="AZ250" s="1200"/>
      <c r="BA250" s="1200"/>
      <c r="BB250" s="1200"/>
      <c r="BC250" s="1200"/>
      <c r="BD250" s="1201"/>
      <c r="BE250" s="1843"/>
      <c r="BF250" s="1846"/>
      <c r="BG250" s="1846"/>
      <c r="BH250" s="1849"/>
      <c r="BI250" s="1852"/>
      <c r="BJ250" s="1840"/>
      <c r="BK250" s="1840"/>
      <c r="BL250" s="1840"/>
      <c r="BM250" s="1840"/>
      <c r="BN250" s="1837"/>
    </row>
    <row r="251" spans="2:66" ht="13.5">
      <c r="B251" s="1202" t="s">
        <v>384</v>
      </c>
      <c r="C251" s="1203"/>
      <c r="D251" s="1204"/>
      <c r="E251" s="1204"/>
      <c r="F251" s="1204"/>
      <c r="G251" s="1204"/>
      <c r="H251" s="1204"/>
      <c r="I251" s="1204"/>
      <c r="J251" s="1204"/>
      <c r="K251" s="1204"/>
      <c r="L251" s="1205"/>
      <c r="M251" s="1843"/>
      <c r="N251" s="1846"/>
      <c r="O251" s="1846"/>
      <c r="P251" s="1849"/>
      <c r="Q251" s="1852"/>
      <c r="R251" s="1840"/>
      <c r="S251" s="1840"/>
      <c r="T251" s="1840"/>
      <c r="U251" s="1840"/>
      <c r="V251" s="1837"/>
      <c r="X251" s="1202" t="s">
        <v>384</v>
      </c>
      <c r="Y251" s="1203"/>
      <c r="Z251" s="1204"/>
      <c r="AA251" s="1204"/>
      <c r="AB251" s="1204"/>
      <c r="AC251" s="1204"/>
      <c r="AD251" s="1204"/>
      <c r="AE251" s="1204"/>
      <c r="AF251" s="1204"/>
      <c r="AG251" s="1204"/>
      <c r="AH251" s="1205"/>
      <c r="AI251" s="1843"/>
      <c r="AJ251" s="1846"/>
      <c r="AK251" s="1846"/>
      <c r="AL251" s="1849"/>
      <c r="AM251" s="1852"/>
      <c r="AN251" s="1840"/>
      <c r="AO251" s="1840"/>
      <c r="AP251" s="1840"/>
      <c r="AQ251" s="1840"/>
      <c r="AR251" s="1837"/>
      <c r="AT251" s="1202" t="s">
        <v>384</v>
      </c>
      <c r="AU251" s="1203"/>
      <c r="AV251" s="1204"/>
      <c r="AW251" s="1204"/>
      <c r="AX251" s="1204"/>
      <c r="AY251" s="1204"/>
      <c r="AZ251" s="1204"/>
      <c r="BA251" s="1204"/>
      <c r="BB251" s="1204"/>
      <c r="BC251" s="1204"/>
      <c r="BD251" s="1205"/>
      <c r="BE251" s="1843"/>
      <c r="BF251" s="1846"/>
      <c r="BG251" s="1846"/>
      <c r="BH251" s="1849"/>
      <c r="BI251" s="1852"/>
      <c r="BJ251" s="1840"/>
      <c r="BK251" s="1840"/>
      <c r="BL251" s="1840"/>
      <c r="BM251" s="1840"/>
      <c r="BN251" s="1837"/>
    </row>
    <row r="252" spans="2:66" ht="13.5">
      <c r="B252" s="1206" t="s">
        <v>385</v>
      </c>
      <c r="C252" s="1207"/>
      <c r="D252" s="1208"/>
      <c r="E252" s="1208"/>
      <c r="F252" s="1208"/>
      <c r="G252" s="1208"/>
      <c r="H252" s="1208"/>
      <c r="I252" s="1208"/>
      <c r="J252" s="1208"/>
      <c r="K252" s="1208"/>
      <c r="L252" s="1209"/>
      <c r="M252" s="1843"/>
      <c r="N252" s="1846"/>
      <c r="O252" s="1846"/>
      <c r="P252" s="1849"/>
      <c r="Q252" s="1852"/>
      <c r="R252" s="1840"/>
      <c r="S252" s="1840"/>
      <c r="T252" s="1840"/>
      <c r="U252" s="1840"/>
      <c r="V252" s="1837"/>
      <c r="X252" s="1206" t="s">
        <v>385</v>
      </c>
      <c r="Y252" s="1207"/>
      <c r="Z252" s="1208"/>
      <c r="AA252" s="1208"/>
      <c r="AB252" s="1208"/>
      <c r="AC252" s="1208"/>
      <c r="AD252" s="1208"/>
      <c r="AE252" s="1208"/>
      <c r="AF252" s="1208"/>
      <c r="AG252" s="1208"/>
      <c r="AH252" s="1209"/>
      <c r="AI252" s="1843"/>
      <c r="AJ252" s="1846"/>
      <c r="AK252" s="1846"/>
      <c r="AL252" s="1849"/>
      <c r="AM252" s="1852"/>
      <c r="AN252" s="1840"/>
      <c r="AO252" s="1840"/>
      <c r="AP252" s="1840"/>
      <c r="AQ252" s="1840"/>
      <c r="AR252" s="1837"/>
      <c r="AT252" s="1206" t="s">
        <v>385</v>
      </c>
      <c r="AU252" s="1207"/>
      <c r="AV252" s="1208"/>
      <c r="AW252" s="1208"/>
      <c r="AX252" s="1208"/>
      <c r="AY252" s="1208"/>
      <c r="AZ252" s="1208"/>
      <c r="BA252" s="1208"/>
      <c r="BB252" s="1208"/>
      <c r="BC252" s="1208"/>
      <c r="BD252" s="1209"/>
      <c r="BE252" s="1843"/>
      <c r="BF252" s="1846"/>
      <c r="BG252" s="1846"/>
      <c r="BH252" s="1849"/>
      <c r="BI252" s="1852"/>
      <c r="BJ252" s="1840"/>
      <c r="BK252" s="1840"/>
      <c r="BL252" s="1840"/>
      <c r="BM252" s="1840"/>
      <c r="BN252" s="1837"/>
    </row>
    <row r="253" spans="2:66" ht="14" thickBot="1">
      <c r="B253" s="1210" t="s">
        <v>388</v>
      </c>
      <c r="C253" s="1221" t="str">
        <f>IF(OR(C250&gt;0,C251&gt;0,C252&gt;0),1,"")</f>
        <v/>
      </c>
      <c r="D253" s="1222" t="str">
        <f>IF(OR(D250&gt;0,D251&gt;0,D252&gt;0),1,"")</f>
        <v/>
      </c>
      <c r="E253" s="1222" t="str">
        <f t="shared" ref="E253:L253" si="126">IF(OR(E250&gt;0,E251&gt;0,E252&gt;0),1,"")</f>
        <v/>
      </c>
      <c r="F253" s="1222" t="str">
        <f t="shared" si="126"/>
        <v/>
      </c>
      <c r="G253" s="1222" t="str">
        <f t="shared" si="126"/>
        <v/>
      </c>
      <c r="H253" s="1222" t="str">
        <f t="shared" si="126"/>
        <v/>
      </c>
      <c r="I253" s="1222" t="str">
        <f t="shared" si="126"/>
        <v/>
      </c>
      <c r="J253" s="1222" t="str">
        <f t="shared" si="126"/>
        <v/>
      </c>
      <c r="K253" s="1222" t="str">
        <f t="shared" si="126"/>
        <v/>
      </c>
      <c r="L253" s="1222" t="str">
        <f t="shared" si="126"/>
        <v/>
      </c>
      <c r="M253" s="1859"/>
      <c r="N253" s="1861"/>
      <c r="O253" s="1861"/>
      <c r="P253" s="1863"/>
      <c r="Q253" s="1855"/>
      <c r="R253" s="1857"/>
      <c r="S253" s="1857"/>
      <c r="T253" s="1857"/>
      <c r="U253" s="1857"/>
      <c r="V253" s="1865"/>
      <c r="X253" s="1210" t="s">
        <v>388</v>
      </c>
      <c r="Y253" s="1221" t="str">
        <f>IF(OR(Y250&gt;0,Y251&gt;0,Y252&gt;0),1,"")</f>
        <v/>
      </c>
      <c r="Z253" s="1222" t="str">
        <f>IF(OR(Z250&gt;0,Z251&gt;0,Z252&gt;0),1,"")</f>
        <v/>
      </c>
      <c r="AA253" s="1222" t="str">
        <f t="shared" ref="AA253:AH253" si="127">IF(OR(AA250&gt;0,AA251&gt;0,AA252&gt;0),1,"")</f>
        <v/>
      </c>
      <c r="AB253" s="1222" t="str">
        <f t="shared" si="127"/>
        <v/>
      </c>
      <c r="AC253" s="1222" t="str">
        <f t="shared" si="127"/>
        <v/>
      </c>
      <c r="AD253" s="1222" t="str">
        <f t="shared" si="127"/>
        <v/>
      </c>
      <c r="AE253" s="1222" t="str">
        <f t="shared" si="127"/>
        <v/>
      </c>
      <c r="AF253" s="1222" t="str">
        <f t="shared" si="127"/>
        <v/>
      </c>
      <c r="AG253" s="1222" t="str">
        <f t="shared" si="127"/>
        <v/>
      </c>
      <c r="AH253" s="1222" t="str">
        <f t="shared" si="127"/>
        <v/>
      </c>
      <c r="AI253" s="1859"/>
      <c r="AJ253" s="1861"/>
      <c r="AK253" s="1861"/>
      <c r="AL253" s="1863"/>
      <c r="AM253" s="1855"/>
      <c r="AN253" s="1857"/>
      <c r="AO253" s="1857"/>
      <c r="AP253" s="1857"/>
      <c r="AQ253" s="1857"/>
      <c r="AR253" s="1865"/>
      <c r="AT253" s="1210" t="s">
        <v>388</v>
      </c>
      <c r="AU253" s="1221" t="str">
        <f>IF(OR(AU250&gt;0,AU251&gt;0,AU252&gt;0),1,"")</f>
        <v/>
      </c>
      <c r="AV253" s="1222" t="str">
        <f>IF(OR(AV250&gt;0,AV251&gt;0,AV252&gt;0),1,"")</f>
        <v/>
      </c>
      <c r="AW253" s="1222" t="str">
        <f t="shared" ref="AW253:BD253" si="128">IF(OR(AW250&gt;0,AW251&gt;0,AW252&gt;0),1,"")</f>
        <v/>
      </c>
      <c r="AX253" s="1222" t="str">
        <f t="shared" si="128"/>
        <v/>
      </c>
      <c r="AY253" s="1222" t="str">
        <f t="shared" si="128"/>
        <v/>
      </c>
      <c r="AZ253" s="1222" t="str">
        <f t="shared" si="128"/>
        <v/>
      </c>
      <c r="BA253" s="1222" t="str">
        <f t="shared" si="128"/>
        <v/>
      </c>
      <c r="BB253" s="1222" t="str">
        <f t="shared" si="128"/>
        <v/>
      </c>
      <c r="BC253" s="1222" t="str">
        <f t="shared" si="128"/>
        <v/>
      </c>
      <c r="BD253" s="1222" t="str">
        <f t="shared" si="128"/>
        <v/>
      </c>
      <c r="BE253" s="1859"/>
      <c r="BF253" s="1861"/>
      <c r="BG253" s="1861"/>
      <c r="BH253" s="1863"/>
      <c r="BI253" s="1855"/>
      <c r="BJ253" s="1857"/>
      <c r="BK253" s="1857"/>
      <c r="BL253" s="1857"/>
      <c r="BM253" s="1857"/>
      <c r="BN253" s="1865"/>
    </row>
    <row r="254" spans="2:66" ht="15" customHeight="1" thickTop="1">
      <c r="B254" s="1194" t="s">
        <v>387</v>
      </c>
      <c r="C254" s="1195"/>
      <c r="D254" s="1196"/>
      <c r="E254" s="1196"/>
      <c r="F254" s="1196"/>
      <c r="G254" s="1196"/>
      <c r="H254" s="1196"/>
      <c r="I254" s="1196"/>
      <c r="J254" s="1196"/>
      <c r="K254" s="1196"/>
      <c r="L254" s="1197"/>
      <c r="M254" s="1858">
        <f>SUM(C254:L254)</f>
        <v>0</v>
      </c>
      <c r="N254" s="1860">
        <f>SUM(C255:L255)</f>
        <v>0</v>
      </c>
      <c r="O254" s="1860">
        <f>SUM(C256:L256)</f>
        <v>0</v>
      </c>
      <c r="P254" s="1862">
        <f>SUM(C257:L257)</f>
        <v>0</v>
      </c>
      <c r="Q254" s="1854" t="str">
        <f>IF(G236="","",SUM(N254:P258))</f>
        <v/>
      </c>
      <c r="R254" s="1856"/>
      <c r="S254" s="1856"/>
      <c r="T254" s="1856"/>
      <c r="U254" s="1856"/>
      <c r="V254" s="1864" t="s">
        <v>395</v>
      </c>
      <c r="X254" s="1194" t="s">
        <v>387</v>
      </c>
      <c r="Y254" s="1195"/>
      <c r="Z254" s="1196"/>
      <c r="AA254" s="1196"/>
      <c r="AB254" s="1196"/>
      <c r="AC254" s="1196"/>
      <c r="AD254" s="1196"/>
      <c r="AE254" s="1196"/>
      <c r="AF254" s="1196"/>
      <c r="AG254" s="1196"/>
      <c r="AH254" s="1197"/>
      <c r="AI254" s="1858">
        <f>SUM(Y254:AH254)</f>
        <v>0</v>
      </c>
      <c r="AJ254" s="1860">
        <f>SUM(Y255:AH255)</f>
        <v>0</v>
      </c>
      <c r="AK254" s="1860">
        <f>SUM(Y256:AH256)</f>
        <v>0</v>
      </c>
      <c r="AL254" s="1862">
        <f>SUM(Y257:AH257)</f>
        <v>0</v>
      </c>
      <c r="AM254" s="1854" t="str">
        <f>IF(AC236="","",SUM(AJ254:AL258))</f>
        <v/>
      </c>
      <c r="AN254" s="1856"/>
      <c r="AO254" s="1856"/>
      <c r="AP254" s="1856"/>
      <c r="AQ254" s="1856"/>
      <c r="AR254" s="1864" t="s">
        <v>395</v>
      </c>
      <c r="AT254" s="1194" t="s">
        <v>387</v>
      </c>
      <c r="AU254" s="1195"/>
      <c r="AV254" s="1196"/>
      <c r="AW254" s="1196"/>
      <c r="AX254" s="1196"/>
      <c r="AY254" s="1196"/>
      <c r="AZ254" s="1196"/>
      <c r="BA254" s="1196"/>
      <c r="BB254" s="1196"/>
      <c r="BC254" s="1196"/>
      <c r="BD254" s="1197"/>
      <c r="BE254" s="1858">
        <f>SUM(AU254:BD254)</f>
        <v>0</v>
      </c>
      <c r="BF254" s="1860">
        <f>SUM(AU255:BD255)</f>
        <v>0</v>
      </c>
      <c r="BG254" s="1860">
        <f>SUM(AU256:BD256)</f>
        <v>0</v>
      </c>
      <c r="BH254" s="1862">
        <f>SUM(AU257:BD257)</f>
        <v>0</v>
      </c>
      <c r="BI254" s="1854" t="str">
        <f>IF(AY236="","",SUM(BF254:BH258))</f>
        <v/>
      </c>
      <c r="BJ254" s="1856"/>
      <c r="BK254" s="1856"/>
      <c r="BL254" s="1856"/>
      <c r="BM254" s="1856"/>
      <c r="BN254" s="1864" t="s">
        <v>395</v>
      </c>
    </row>
    <row r="255" spans="2:66" ht="13.5">
      <c r="B255" s="1198" t="s">
        <v>383</v>
      </c>
      <c r="C255" s="1199"/>
      <c r="D255" s="1200"/>
      <c r="E255" s="1200"/>
      <c r="F255" s="1200"/>
      <c r="G255" s="1200"/>
      <c r="H255" s="1200"/>
      <c r="I255" s="1200"/>
      <c r="J255" s="1200"/>
      <c r="K255" s="1200"/>
      <c r="L255" s="1201"/>
      <c r="M255" s="1843"/>
      <c r="N255" s="1846"/>
      <c r="O255" s="1846"/>
      <c r="P255" s="1849"/>
      <c r="Q255" s="1852"/>
      <c r="R255" s="1840"/>
      <c r="S255" s="1840"/>
      <c r="T255" s="1840"/>
      <c r="U255" s="1840"/>
      <c r="V255" s="1837"/>
      <c r="X255" s="1198" t="s">
        <v>383</v>
      </c>
      <c r="Y255" s="1199"/>
      <c r="Z255" s="1200"/>
      <c r="AA255" s="1200"/>
      <c r="AB255" s="1200"/>
      <c r="AC255" s="1200"/>
      <c r="AD255" s="1200"/>
      <c r="AE255" s="1200"/>
      <c r="AF255" s="1200"/>
      <c r="AG255" s="1200"/>
      <c r="AH255" s="1201"/>
      <c r="AI255" s="1843"/>
      <c r="AJ255" s="1846"/>
      <c r="AK255" s="1846"/>
      <c r="AL255" s="1849"/>
      <c r="AM255" s="1852"/>
      <c r="AN255" s="1840"/>
      <c r="AO255" s="1840"/>
      <c r="AP255" s="1840"/>
      <c r="AQ255" s="1840"/>
      <c r="AR255" s="1837"/>
      <c r="AT255" s="1198" t="s">
        <v>383</v>
      </c>
      <c r="AU255" s="1199"/>
      <c r="AV255" s="1200"/>
      <c r="AW255" s="1200"/>
      <c r="AX255" s="1200"/>
      <c r="AY255" s="1200"/>
      <c r="AZ255" s="1200"/>
      <c r="BA255" s="1200"/>
      <c r="BB255" s="1200"/>
      <c r="BC255" s="1200"/>
      <c r="BD255" s="1201"/>
      <c r="BE255" s="1843"/>
      <c r="BF255" s="1846"/>
      <c r="BG255" s="1846"/>
      <c r="BH255" s="1849"/>
      <c r="BI255" s="1852"/>
      <c r="BJ255" s="1840"/>
      <c r="BK255" s="1840"/>
      <c r="BL255" s="1840"/>
      <c r="BM255" s="1840"/>
      <c r="BN255" s="1837"/>
    </row>
    <row r="256" spans="2:66" ht="13.5">
      <c r="B256" s="1202" t="s">
        <v>384</v>
      </c>
      <c r="C256" s="1203"/>
      <c r="D256" s="1204"/>
      <c r="E256" s="1204"/>
      <c r="F256" s="1204"/>
      <c r="G256" s="1204"/>
      <c r="H256" s="1204"/>
      <c r="I256" s="1204"/>
      <c r="J256" s="1204"/>
      <c r="K256" s="1204"/>
      <c r="L256" s="1205"/>
      <c r="M256" s="1843"/>
      <c r="N256" s="1846"/>
      <c r="O256" s="1846"/>
      <c r="P256" s="1849"/>
      <c r="Q256" s="1852"/>
      <c r="R256" s="1840"/>
      <c r="S256" s="1840"/>
      <c r="T256" s="1840"/>
      <c r="U256" s="1840"/>
      <c r="V256" s="1837"/>
      <c r="X256" s="1202" t="s">
        <v>384</v>
      </c>
      <c r="Y256" s="1203"/>
      <c r="Z256" s="1204"/>
      <c r="AA256" s="1204"/>
      <c r="AB256" s="1204"/>
      <c r="AC256" s="1204"/>
      <c r="AD256" s="1204"/>
      <c r="AE256" s="1204"/>
      <c r="AF256" s="1204"/>
      <c r="AG256" s="1204"/>
      <c r="AH256" s="1205"/>
      <c r="AI256" s="1843"/>
      <c r="AJ256" s="1846"/>
      <c r="AK256" s="1846"/>
      <c r="AL256" s="1849"/>
      <c r="AM256" s="1852"/>
      <c r="AN256" s="1840"/>
      <c r="AO256" s="1840"/>
      <c r="AP256" s="1840"/>
      <c r="AQ256" s="1840"/>
      <c r="AR256" s="1837"/>
      <c r="AT256" s="1202" t="s">
        <v>384</v>
      </c>
      <c r="AU256" s="1203"/>
      <c r="AV256" s="1204"/>
      <c r="AW256" s="1204"/>
      <c r="AX256" s="1204"/>
      <c r="AY256" s="1204"/>
      <c r="AZ256" s="1204"/>
      <c r="BA256" s="1204"/>
      <c r="BB256" s="1204"/>
      <c r="BC256" s="1204"/>
      <c r="BD256" s="1205"/>
      <c r="BE256" s="1843"/>
      <c r="BF256" s="1846"/>
      <c r="BG256" s="1846"/>
      <c r="BH256" s="1849"/>
      <c r="BI256" s="1852"/>
      <c r="BJ256" s="1840"/>
      <c r="BK256" s="1840"/>
      <c r="BL256" s="1840"/>
      <c r="BM256" s="1840"/>
      <c r="BN256" s="1837"/>
    </row>
    <row r="257" spans="2:66" ht="13.5">
      <c r="B257" s="1206" t="s">
        <v>385</v>
      </c>
      <c r="C257" s="1207"/>
      <c r="D257" s="1208"/>
      <c r="E257" s="1208"/>
      <c r="F257" s="1208"/>
      <c r="G257" s="1208"/>
      <c r="H257" s="1208"/>
      <c r="I257" s="1208"/>
      <c r="J257" s="1208"/>
      <c r="K257" s="1208"/>
      <c r="L257" s="1209"/>
      <c r="M257" s="1843"/>
      <c r="N257" s="1846"/>
      <c r="O257" s="1846"/>
      <c r="P257" s="1849"/>
      <c r="Q257" s="1852"/>
      <c r="R257" s="1840"/>
      <c r="S257" s="1840"/>
      <c r="T257" s="1840"/>
      <c r="U257" s="1840"/>
      <c r="V257" s="1837"/>
      <c r="X257" s="1206" t="s">
        <v>385</v>
      </c>
      <c r="Y257" s="1207"/>
      <c r="Z257" s="1208"/>
      <c r="AA257" s="1208"/>
      <c r="AB257" s="1208"/>
      <c r="AC257" s="1208"/>
      <c r="AD257" s="1208"/>
      <c r="AE257" s="1208"/>
      <c r="AF257" s="1208"/>
      <c r="AG257" s="1208"/>
      <c r="AH257" s="1209"/>
      <c r="AI257" s="1843"/>
      <c r="AJ257" s="1846"/>
      <c r="AK257" s="1846"/>
      <c r="AL257" s="1849"/>
      <c r="AM257" s="1852"/>
      <c r="AN257" s="1840"/>
      <c r="AO257" s="1840"/>
      <c r="AP257" s="1840"/>
      <c r="AQ257" s="1840"/>
      <c r="AR257" s="1837"/>
      <c r="AT257" s="1206" t="s">
        <v>385</v>
      </c>
      <c r="AU257" s="1207"/>
      <c r="AV257" s="1208"/>
      <c r="AW257" s="1208"/>
      <c r="AX257" s="1208"/>
      <c r="AY257" s="1208"/>
      <c r="AZ257" s="1208"/>
      <c r="BA257" s="1208"/>
      <c r="BB257" s="1208"/>
      <c r="BC257" s="1208"/>
      <c r="BD257" s="1209"/>
      <c r="BE257" s="1843"/>
      <c r="BF257" s="1846"/>
      <c r="BG257" s="1846"/>
      <c r="BH257" s="1849"/>
      <c r="BI257" s="1852"/>
      <c r="BJ257" s="1840"/>
      <c r="BK257" s="1840"/>
      <c r="BL257" s="1840"/>
      <c r="BM257" s="1840"/>
      <c r="BN257" s="1837"/>
    </row>
    <row r="258" spans="2:66" ht="14" thickBot="1">
      <c r="B258" s="1210" t="s">
        <v>388</v>
      </c>
      <c r="C258" s="1221" t="str">
        <f>IF(OR(C255&gt;0,C256&gt;0,C257&gt;0),1,"")</f>
        <v/>
      </c>
      <c r="D258" s="1222" t="str">
        <f>IF(OR(D255&gt;0,D256&gt;0,D257&gt;0),1,"")</f>
        <v/>
      </c>
      <c r="E258" s="1222" t="str">
        <f t="shared" ref="E258:L258" si="129">IF(OR(E255&gt;0,E256&gt;0,E257&gt;0),1,"")</f>
        <v/>
      </c>
      <c r="F258" s="1222" t="str">
        <f t="shared" si="129"/>
        <v/>
      </c>
      <c r="G258" s="1222" t="str">
        <f t="shared" si="129"/>
        <v/>
      </c>
      <c r="H258" s="1222" t="str">
        <f t="shared" si="129"/>
        <v/>
      </c>
      <c r="I258" s="1222" t="str">
        <f t="shared" si="129"/>
        <v/>
      </c>
      <c r="J258" s="1222" t="str">
        <f t="shared" si="129"/>
        <v/>
      </c>
      <c r="K258" s="1222" t="str">
        <f t="shared" si="129"/>
        <v/>
      </c>
      <c r="L258" s="1222" t="str">
        <f t="shared" si="129"/>
        <v/>
      </c>
      <c r="M258" s="1859"/>
      <c r="N258" s="1861"/>
      <c r="O258" s="1861"/>
      <c r="P258" s="1863"/>
      <c r="Q258" s="1855"/>
      <c r="R258" s="1857"/>
      <c r="S258" s="1857"/>
      <c r="T258" s="1857"/>
      <c r="U258" s="1857"/>
      <c r="V258" s="1865"/>
      <c r="X258" s="1210" t="s">
        <v>388</v>
      </c>
      <c r="Y258" s="1221" t="str">
        <f>IF(OR(Y255&gt;0,Y256&gt;0,Y257&gt;0),1,"")</f>
        <v/>
      </c>
      <c r="Z258" s="1222" t="str">
        <f>IF(OR(Z255&gt;0,Z256&gt;0,Z257&gt;0),1,"")</f>
        <v/>
      </c>
      <c r="AA258" s="1222" t="str">
        <f t="shared" ref="AA258:AH258" si="130">IF(OR(AA255&gt;0,AA256&gt;0,AA257&gt;0),1,"")</f>
        <v/>
      </c>
      <c r="AB258" s="1222" t="str">
        <f t="shared" si="130"/>
        <v/>
      </c>
      <c r="AC258" s="1222" t="str">
        <f t="shared" si="130"/>
        <v/>
      </c>
      <c r="AD258" s="1222" t="str">
        <f t="shared" si="130"/>
        <v/>
      </c>
      <c r="AE258" s="1222" t="str">
        <f t="shared" si="130"/>
        <v/>
      </c>
      <c r="AF258" s="1222" t="str">
        <f t="shared" si="130"/>
        <v/>
      </c>
      <c r="AG258" s="1222" t="str">
        <f t="shared" si="130"/>
        <v/>
      </c>
      <c r="AH258" s="1222" t="str">
        <f t="shared" si="130"/>
        <v/>
      </c>
      <c r="AI258" s="1859"/>
      <c r="AJ258" s="1861"/>
      <c r="AK258" s="1861"/>
      <c r="AL258" s="1863"/>
      <c r="AM258" s="1855"/>
      <c r="AN258" s="1857"/>
      <c r="AO258" s="1857"/>
      <c r="AP258" s="1857"/>
      <c r="AQ258" s="1857"/>
      <c r="AR258" s="1865"/>
      <c r="AT258" s="1210" t="s">
        <v>388</v>
      </c>
      <c r="AU258" s="1221" t="str">
        <f>IF(OR(AU255&gt;0,AU256&gt;0,AU257&gt;0),1,"")</f>
        <v/>
      </c>
      <c r="AV258" s="1222" t="str">
        <f>IF(OR(AV255&gt;0,AV256&gt;0,AV257&gt;0),1,"")</f>
        <v/>
      </c>
      <c r="AW258" s="1222" t="str">
        <f t="shared" ref="AW258:BD258" si="131">IF(OR(AW255&gt;0,AW256&gt;0,AW257&gt;0),1,"")</f>
        <v/>
      </c>
      <c r="AX258" s="1222" t="str">
        <f t="shared" si="131"/>
        <v/>
      </c>
      <c r="AY258" s="1222" t="str">
        <f t="shared" si="131"/>
        <v/>
      </c>
      <c r="AZ258" s="1222" t="str">
        <f t="shared" si="131"/>
        <v/>
      </c>
      <c r="BA258" s="1222" t="str">
        <f t="shared" si="131"/>
        <v/>
      </c>
      <c r="BB258" s="1222" t="str">
        <f t="shared" si="131"/>
        <v/>
      </c>
      <c r="BC258" s="1222" t="str">
        <f t="shared" si="131"/>
        <v/>
      </c>
      <c r="BD258" s="1222" t="str">
        <f t="shared" si="131"/>
        <v/>
      </c>
      <c r="BE258" s="1859"/>
      <c r="BF258" s="1861"/>
      <c r="BG258" s="1861"/>
      <c r="BH258" s="1863"/>
      <c r="BI258" s="1855"/>
      <c r="BJ258" s="1857"/>
      <c r="BK258" s="1857"/>
      <c r="BL258" s="1857"/>
      <c r="BM258" s="1857"/>
      <c r="BN258" s="1865"/>
    </row>
    <row r="259" spans="2:66" ht="15" customHeight="1" thickTop="1">
      <c r="B259" s="1194" t="s">
        <v>387</v>
      </c>
      <c r="C259" s="1195"/>
      <c r="D259" s="1196"/>
      <c r="E259" s="1196"/>
      <c r="F259" s="1196"/>
      <c r="G259" s="1196"/>
      <c r="H259" s="1196"/>
      <c r="I259" s="1196"/>
      <c r="J259" s="1196"/>
      <c r="K259" s="1196"/>
      <c r="L259" s="1197"/>
      <c r="M259" s="1842">
        <f>SUM(C259:L259)</f>
        <v>0</v>
      </c>
      <c r="N259" s="1845">
        <f>SUM(C260:L260)</f>
        <v>0</v>
      </c>
      <c r="O259" s="1845">
        <f>SUM(C261:L261)</f>
        <v>0</v>
      </c>
      <c r="P259" s="1848">
        <f>SUM(C262:L262)</f>
        <v>0</v>
      </c>
      <c r="Q259" s="1851" t="str">
        <f>IF(G236="","",SUM(N259:P263))</f>
        <v/>
      </c>
      <c r="R259" s="1839"/>
      <c r="S259" s="1839"/>
      <c r="T259" s="1839"/>
      <c r="U259" s="1839"/>
      <c r="V259" s="1836" t="s">
        <v>395</v>
      </c>
      <c r="X259" s="1194" t="s">
        <v>387</v>
      </c>
      <c r="Y259" s="1195"/>
      <c r="Z259" s="1196"/>
      <c r="AA259" s="1196"/>
      <c r="AB259" s="1196"/>
      <c r="AC259" s="1196"/>
      <c r="AD259" s="1196"/>
      <c r="AE259" s="1196"/>
      <c r="AF259" s="1196"/>
      <c r="AG259" s="1196"/>
      <c r="AH259" s="1197"/>
      <c r="AI259" s="1842">
        <f>SUM(Y259:AH259)</f>
        <v>0</v>
      </c>
      <c r="AJ259" s="1845">
        <f>SUM(Y260:AH260)</f>
        <v>0</v>
      </c>
      <c r="AK259" s="1845">
        <f>SUM(Y261:AH261)</f>
        <v>0</v>
      </c>
      <c r="AL259" s="1848">
        <f>SUM(Y262:AH262)</f>
        <v>0</v>
      </c>
      <c r="AM259" s="1851" t="str">
        <f>IF(AC236="","",SUM(AJ259:AL263))</f>
        <v/>
      </c>
      <c r="AN259" s="1839"/>
      <c r="AO259" s="1839"/>
      <c r="AP259" s="1839"/>
      <c r="AQ259" s="1839"/>
      <c r="AR259" s="1836" t="s">
        <v>395</v>
      </c>
      <c r="AT259" s="1194" t="s">
        <v>387</v>
      </c>
      <c r="AU259" s="1195"/>
      <c r="AV259" s="1196"/>
      <c r="AW259" s="1196"/>
      <c r="AX259" s="1196"/>
      <c r="AY259" s="1196"/>
      <c r="AZ259" s="1196"/>
      <c r="BA259" s="1196"/>
      <c r="BB259" s="1196"/>
      <c r="BC259" s="1196"/>
      <c r="BD259" s="1197"/>
      <c r="BE259" s="1842">
        <f>SUM(AU259:BD259)</f>
        <v>0</v>
      </c>
      <c r="BF259" s="1845">
        <f>SUM(AU260:BD260)</f>
        <v>0</v>
      </c>
      <c r="BG259" s="1845">
        <f>SUM(AU261:BD261)</f>
        <v>0</v>
      </c>
      <c r="BH259" s="1848">
        <f>SUM(AU262:BD262)</f>
        <v>0</v>
      </c>
      <c r="BI259" s="1851" t="str">
        <f>IF(AY236="","",SUM(BF259:BH263))</f>
        <v/>
      </c>
      <c r="BJ259" s="1839"/>
      <c r="BK259" s="1839"/>
      <c r="BL259" s="1839"/>
      <c r="BM259" s="1839"/>
      <c r="BN259" s="1836" t="s">
        <v>395</v>
      </c>
    </row>
    <row r="260" spans="2:66" ht="13.5">
      <c r="B260" s="1198" t="s">
        <v>383</v>
      </c>
      <c r="C260" s="1199"/>
      <c r="D260" s="1200"/>
      <c r="E260" s="1200"/>
      <c r="F260" s="1200"/>
      <c r="G260" s="1200"/>
      <c r="H260" s="1200"/>
      <c r="I260" s="1200"/>
      <c r="J260" s="1200"/>
      <c r="K260" s="1200"/>
      <c r="L260" s="1201"/>
      <c r="M260" s="1843"/>
      <c r="N260" s="1846"/>
      <c r="O260" s="1846"/>
      <c r="P260" s="1849"/>
      <c r="Q260" s="1852"/>
      <c r="R260" s="1840"/>
      <c r="S260" s="1840"/>
      <c r="T260" s="1840"/>
      <c r="U260" s="1840"/>
      <c r="V260" s="1837"/>
      <c r="X260" s="1198" t="s">
        <v>383</v>
      </c>
      <c r="Y260" s="1199"/>
      <c r="Z260" s="1200"/>
      <c r="AA260" s="1200"/>
      <c r="AB260" s="1200"/>
      <c r="AC260" s="1200"/>
      <c r="AD260" s="1200"/>
      <c r="AE260" s="1200"/>
      <c r="AF260" s="1200"/>
      <c r="AG260" s="1200"/>
      <c r="AH260" s="1201"/>
      <c r="AI260" s="1843"/>
      <c r="AJ260" s="1846"/>
      <c r="AK260" s="1846"/>
      <c r="AL260" s="1849"/>
      <c r="AM260" s="1852"/>
      <c r="AN260" s="1840"/>
      <c r="AO260" s="1840"/>
      <c r="AP260" s="1840"/>
      <c r="AQ260" s="1840"/>
      <c r="AR260" s="1837"/>
      <c r="AT260" s="1198" t="s">
        <v>383</v>
      </c>
      <c r="AU260" s="1199"/>
      <c r="AV260" s="1200"/>
      <c r="AW260" s="1200"/>
      <c r="AX260" s="1200"/>
      <c r="AY260" s="1200"/>
      <c r="AZ260" s="1200"/>
      <c r="BA260" s="1200"/>
      <c r="BB260" s="1200"/>
      <c r="BC260" s="1200"/>
      <c r="BD260" s="1201"/>
      <c r="BE260" s="1843"/>
      <c r="BF260" s="1846"/>
      <c r="BG260" s="1846"/>
      <c r="BH260" s="1849"/>
      <c r="BI260" s="1852"/>
      <c r="BJ260" s="1840"/>
      <c r="BK260" s="1840"/>
      <c r="BL260" s="1840"/>
      <c r="BM260" s="1840"/>
      <c r="BN260" s="1837"/>
    </row>
    <row r="261" spans="2:66" ht="13.5">
      <c r="B261" s="1202" t="s">
        <v>384</v>
      </c>
      <c r="C261" s="1203"/>
      <c r="D261" s="1204"/>
      <c r="E261" s="1204"/>
      <c r="F261" s="1204"/>
      <c r="G261" s="1204"/>
      <c r="H261" s="1204"/>
      <c r="I261" s="1204"/>
      <c r="J261" s="1204"/>
      <c r="K261" s="1204"/>
      <c r="L261" s="1205"/>
      <c r="M261" s="1843"/>
      <c r="N261" s="1846"/>
      <c r="O261" s="1846"/>
      <c r="P261" s="1849"/>
      <c r="Q261" s="1852"/>
      <c r="R261" s="1840"/>
      <c r="S261" s="1840"/>
      <c r="T261" s="1840"/>
      <c r="U261" s="1840"/>
      <c r="V261" s="1837"/>
      <c r="X261" s="1202" t="s">
        <v>384</v>
      </c>
      <c r="Y261" s="1203"/>
      <c r="Z261" s="1204"/>
      <c r="AA261" s="1204"/>
      <c r="AB261" s="1204"/>
      <c r="AC261" s="1204"/>
      <c r="AD261" s="1204"/>
      <c r="AE261" s="1204"/>
      <c r="AF261" s="1204"/>
      <c r="AG261" s="1204"/>
      <c r="AH261" s="1205"/>
      <c r="AI261" s="1843"/>
      <c r="AJ261" s="1846"/>
      <c r="AK261" s="1846"/>
      <c r="AL261" s="1849"/>
      <c r="AM261" s="1852"/>
      <c r="AN261" s="1840"/>
      <c r="AO261" s="1840"/>
      <c r="AP261" s="1840"/>
      <c r="AQ261" s="1840"/>
      <c r="AR261" s="1837"/>
      <c r="AT261" s="1202" t="s">
        <v>384</v>
      </c>
      <c r="AU261" s="1203"/>
      <c r="AV261" s="1204"/>
      <c r="AW261" s="1204"/>
      <c r="AX261" s="1204"/>
      <c r="AY261" s="1204"/>
      <c r="AZ261" s="1204"/>
      <c r="BA261" s="1204"/>
      <c r="BB261" s="1204"/>
      <c r="BC261" s="1204"/>
      <c r="BD261" s="1205"/>
      <c r="BE261" s="1843"/>
      <c r="BF261" s="1846"/>
      <c r="BG261" s="1846"/>
      <c r="BH261" s="1849"/>
      <c r="BI261" s="1852"/>
      <c r="BJ261" s="1840"/>
      <c r="BK261" s="1840"/>
      <c r="BL261" s="1840"/>
      <c r="BM261" s="1840"/>
      <c r="BN261" s="1837"/>
    </row>
    <row r="262" spans="2:66" ht="13.5">
      <c r="B262" s="1206" t="s">
        <v>385</v>
      </c>
      <c r="C262" s="1207"/>
      <c r="D262" s="1208"/>
      <c r="E262" s="1208"/>
      <c r="F262" s="1208"/>
      <c r="G262" s="1208"/>
      <c r="H262" s="1208"/>
      <c r="I262" s="1208"/>
      <c r="J262" s="1208"/>
      <c r="K262" s="1208"/>
      <c r="L262" s="1209"/>
      <c r="M262" s="1843"/>
      <c r="N262" s="1846"/>
      <c r="O262" s="1846"/>
      <c r="P262" s="1849"/>
      <c r="Q262" s="1852"/>
      <c r="R262" s="1840"/>
      <c r="S262" s="1840"/>
      <c r="T262" s="1840"/>
      <c r="U262" s="1840"/>
      <c r="V262" s="1837"/>
      <c r="X262" s="1206" t="s">
        <v>385</v>
      </c>
      <c r="Y262" s="1207"/>
      <c r="Z262" s="1208"/>
      <c r="AA262" s="1208"/>
      <c r="AB262" s="1208"/>
      <c r="AC262" s="1208"/>
      <c r="AD262" s="1208"/>
      <c r="AE262" s="1208"/>
      <c r="AF262" s="1208"/>
      <c r="AG262" s="1208"/>
      <c r="AH262" s="1209"/>
      <c r="AI262" s="1843"/>
      <c r="AJ262" s="1846"/>
      <c r="AK262" s="1846"/>
      <c r="AL262" s="1849"/>
      <c r="AM262" s="1852"/>
      <c r="AN262" s="1840"/>
      <c r="AO262" s="1840"/>
      <c r="AP262" s="1840"/>
      <c r="AQ262" s="1840"/>
      <c r="AR262" s="1837"/>
      <c r="AT262" s="1206" t="s">
        <v>385</v>
      </c>
      <c r="AU262" s="1207"/>
      <c r="AV262" s="1208"/>
      <c r="AW262" s="1208"/>
      <c r="AX262" s="1208"/>
      <c r="AY262" s="1208"/>
      <c r="AZ262" s="1208"/>
      <c r="BA262" s="1208"/>
      <c r="BB262" s="1208"/>
      <c r="BC262" s="1208"/>
      <c r="BD262" s="1209"/>
      <c r="BE262" s="1843"/>
      <c r="BF262" s="1846"/>
      <c r="BG262" s="1846"/>
      <c r="BH262" s="1849"/>
      <c r="BI262" s="1852"/>
      <c r="BJ262" s="1840"/>
      <c r="BK262" s="1840"/>
      <c r="BL262" s="1840"/>
      <c r="BM262" s="1840"/>
      <c r="BN262" s="1837"/>
    </row>
    <row r="263" spans="2:66" ht="13.5">
      <c r="B263" s="1215" t="s">
        <v>388</v>
      </c>
      <c r="C263" s="1223" t="str">
        <f>IF(OR(C260&gt;0,C261&gt;0,C262&gt;0),1,"")</f>
        <v/>
      </c>
      <c r="D263" s="1224" t="str">
        <f>IF(OR(D260&gt;0,D261&gt;0,D262&gt;0),1,"")</f>
        <v/>
      </c>
      <c r="E263" s="1224" t="str">
        <f t="shared" ref="E263:L263" si="132">IF(OR(E260&gt;0,E261&gt;0,E262&gt;0),1,"")</f>
        <v/>
      </c>
      <c r="F263" s="1224" t="str">
        <f t="shared" si="132"/>
        <v/>
      </c>
      <c r="G263" s="1224" t="str">
        <f t="shared" si="132"/>
        <v/>
      </c>
      <c r="H263" s="1224" t="str">
        <f t="shared" si="132"/>
        <v/>
      </c>
      <c r="I263" s="1224" t="str">
        <f t="shared" si="132"/>
        <v/>
      </c>
      <c r="J263" s="1224" t="str">
        <f t="shared" si="132"/>
        <v/>
      </c>
      <c r="K263" s="1224" t="str">
        <f t="shared" si="132"/>
        <v/>
      </c>
      <c r="L263" s="1225" t="str">
        <f t="shared" si="132"/>
        <v/>
      </c>
      <c r="M263" s="1844"/>
      <c r="N263" s="1847"/>
      <c r="O263" s="1847"/>
      <c r="P263" s="1850"/>
      <c r="Q263" s="1853"/>
      <c r="R263" s="1841"/>
      <c r="S263" s="1841"/>
      <c r="T263" s="1841"/>
      <c r="U263" s="1841"/>
      <c r="V263" s="1838"/>
      <c r="X263" s="1215" t="s">
        <v>388</v>
      </c>
      <c r="Y263" s="1223" t="str">
        <f>IF(OR(Y260&gt;0,Y261&gt;0,Y262&gt;0),1,"")</f>
        <v/>
      </c>
      <c r="Z263" s="1224" t="str">
        <f>IF(OR(Z260&gt;0,Z261&gt;0,Z262&gt;0),1,"")</f>
        <v/>
      </c>
      <c r="AA263" s="1224" t="str">
        <f t="shared" ref="AA263:AH263" si="133">IF(OR(AA260&gt;0,AA261&gt;0,AA262&gt;0),1,"")</f>
        <v/>
      </c>
      <c r="AB263" s="1224" t="str">
        <f t="shared" si="133"/>
        <v/>
      </c>
      <c r="AC263" s="1224" t="str">
        <f t="shared" si="133"/>
        <v/>
      </c>
      <c r="AD263" s="1224" t="str">
        <f t="shared" si="133"/>
        <v/>
      </c>
      <c r="AE263" s="1224" t="str">
        <f t="shared" si="133"/>
        <v/>
      </c>
      <c r="AF263" s="1224" t="str">
        <f t="shared" si="133"/>
        <v/>
      </c>
      <c r="AG263" s="1224" t="str">
        <f t="shared" si="133"/>
        <v/>
      </c>
      <c r="AH263" s="1225" t="str">
        <f t="shared" si="133"/>
        <v/>
      </c>
      <c r="AI263" s="1844"/>
      <c r="AJ263" s="1847"/>
      <c r="AK263" s="1847"/>
      <c r="AL263" s="1850"/>
      <c r="AM263" s="1853"/>
      <c r="AN263" s="1841"/>
      <c r="AO263" s="1841"/>
      <c r="AP263" s="1841"/>
      <c r="AQ263" s="1841"/>
      <c r="AR263" s="1838"/>
      <c r="AT263" s="1215" t="s">
        <v>388</v>
      </c>
      <c r="AU263" s="1223" t="str">
        <f>IF(OR(AU260&gt;0,AU261&gt;0,AU262&gt;0),1,"")</f>
        <v/>
      </c>
      <c r="AV263" s="1224" t="str">
        <f>IF(OR(AV260&gt;0,AV261&gt;0,AV262&gt;0),1,"")</f>
        <v/>
      </c>
      <c r="AW263" s="1224" t="str">
        <f t="shared" ref="AW263:BD263" si="134">IF(OR(AW260&gt;0,AW261&gt;0,AW262&gt;0),1,"")</f>
        <v/>
      </c>
      <c r="AX263" s="1224" t="str">
        <f t="shared" si="134"/>
        <v/>
      </c>
      <c r="AY263" s="1224" t="str">
        <f t="shared" si="134"/>
        <v/>
      </c>
      <c r="AZ263" s="1224" t="str">
        <f t="shared" si="134"/>
        <v/>
      </c>
      <c r="BA263" s="1224" t="str">
        <f t="shared" si="134"/>
        <v/>
      </c>
      <c r="BB263" s="1224" t="str">
        <f t="shared" si="134"/>
        <v/>
      </c>
      <c r="BC263" s="1224" t="str">
        <f t="shared" si="134"/>
        <v/>
      </c>
      <c r="BD263" s="1225" t="str">
        <f t="shared" si="134"/>
        <v/>
      </c>
      <c r="BE263" s="1844"/>
      <c r="BF263" s="1847"/>
      <c r="BG263" s="1847"/>
      <c r="BH263" s="1850"/>
      <c r="BI263" s="1853"/>
      <c r="BJ263" s="1841"/>
      <c r="BK263" s="1841"/>
      <c r="BL263" s="1841"/>
      <c r="BM263" s="1841"/>
      <c r="BN263" s="1838"/>
    </row>
    <row r="265" spans="2:66">
      <c r="B265" s="1175"/>
      <c r="C265" s="1176" t="s">
        <v>403</v>
      </c>
      <c r="D265" s="1217" t="s">
        <v>396</v>
      </c>
      <c r="E265" s="1177"/>
      <c r="F265" s="1177" t="s">
        <v>373</v>
      </c>
      <c r="G265" s="1178"/>
      <c r="H265" s="1167"/>
      <c r="I265" s="1167"/>
      <c r="J265" s="1179" t="s">
        <v>374</v>
      </c>
      <c r="K265" s="1165"/>
      <c r="L265" s="1165"/>
      <c r="M265" s="1165"/>
      <c r="N265" s="1165"/>
      <c r="O265" s="1165"/>
      <c r="P265" s="1165"/>
      <c r="Q265" s="1165"/>
      <c r="R265" s="1165"/>
      <c r="S265" s="1165"/>
      <c r="T265" s="1165"/>
      <c r="U265" s="1165"/>
      <c r="V265" s="1165"/>
      <c r="X265" s="1175"/>
      <c r="Y265" s="1176" t="s">
        <v>403</v>
      </c>
      <c r="Z265" s="1217" t="s">
        <v>412</v>
      </c>
      <c r="AA265" s="1177"/>
      <c r="AB265" s="1177" t="s">
        <v>373</v>
      </c>
      <c r="AC265" s="1178"/>
      <c r="AD265" s="1167"/>
      <c r="AE265" s="1167"/>
      <c r="AF265" s="1179" t="s">
        <v>374</v>
      </c>
      <c r="AG265" s="1165"/>
      <c r="AH265" s="1165"/>
      <c r="AI265" s="1165"/>
      <c r="AJ265" s="1165"/>
      <c r="AK265" s="1165"/>
      <c r="AL265" s="1165"/>
      <c r="AM265" s="1165"/>
      <c r="AN265" s="1165"/>
      <c r="AO265" s="1165"/>
      <c r="AP265" s="1165"/>
      <c r="AQ265" s="1165"/>
      <c r="AR265" s="1165"/>
      <c r="AT265" s="1175"/>
      <c r="AU265" s="1176" t="s">
        <v>403</v>
      </c>
      <c r="AV265" s="1217" t="s">
        <v>409</v>
      </c>
      <c r="AW265" s="1177"/>
      <c r="AX265" s="1177" t="s">
        <v>373</v>
      </c>
      <c r="AY265" s="1178"/>
      <c r="AZ265" s="1167"/>
      <c r="BA265" s="1167"/>
      <c r="BB265" s="1179" t="s">
        <v>374</v>
      </c>
      <c r="BC265" s="1165"/>
      <c r="BD265" s="1401"/>
      <c r="BE265" s="1165"/>
      <c r="BF265" s="1165"/>
      <c r="BG265" s="1165"/>
      <c r="BH265" s="1165"/>
      <c r="BI265" s="1165"/>
      <c r="BJ265" s="1165"/>
      <c r="BK265" s="1165"/>
      <c r="BL265" s="1165"/>
      <c r="BM265" s="1165"/>
      <c r="BN265" s="1165"/>
    </row>
    <row r="266" spans="2:66" ht="15.75" customHeight="1">
      <c r="B266" s="1180" t="s">
        <v>375</v>
      </c>
      <c r="C266" s="1181"/>
      <c r="D266" s="1220" t="e">
        <f>IF(J266="",#N/A,SUM(C272:L272,C277:L277,C282:L282,C287:L287,C292:L292))</f>
        <v>#N/A</v>
      </c>
      <c r="E266" s="1183" t="s">
        <v>376</v>
      </c>
      <c r="F266" s="1184" t="s">
        <v>377</v>
      </c>
      <c r="G266" s="1181"/>
      <c r="H266" s="1182" t="s">
        <v>378</v>
      </c>
      <c r="I266" s="1181"/>
      <c r="J266" s="1220" t="str">
        <f>IF(AND(Q268="",Q273="",Q278="",Q283="",Q288=""),"",SUM(Q268:Q291))</f>
        <v/>
      </c>
      <c r="K266" s="1183" t="s">
        <v>379</v>
      </c>
      <c r="L266" s="1185" t="s">
        <v>377</v>
      </c>
      <c r="M266" s="1866" t="s">
        <v>380</v>
      </c>
      <c r="N266" s="1867"/>
      <c r="O266" s="1867"/>
      <c r="P266" s="1867"/>
      <c r="Q266" s="1868"/>
      <c r="R266" s="1869" t="s">
        <v>389</v>
      </c>
      <c r="S266" s="1869" t="s">
        <v>390</v>
      </c>
      <c r="T266" s="1869" t="s">
        <v>391</v>
      </c>
      <c r="U266" s="1869" t="s">
        <v>392</v>
      </c>
      <c r="V266" s="1871" t="s">
        <v>393</v>
      </c>
      <c r="X266" s="1180" t="s">
        <v>375</v>
      </c>
      <c r="Y266" s="1181"/>
      <c r="Z266" s="1220" t="e">
        <f>IF(AF266="",#N/A,SUM(Y272:AH272,Y277:AH277,Y282:AH282,Y287:AH287,Y292:AH292))</f>
        <v>#N/A</v>
      </c>
      <c r="AA266" s="1183" t="s">
        <v>376</v>
      </c>
      <c r="AB266" s="1184" t="s">
        <v>377</v>
      </c>
      <c r="AC266" s="1181"/>
      <c r="AD266" s="1182" t="s">
        <v>378</v>
      </c>
      <c r="AE266" s="1181"/>
      <c r="AF266" s="1220" t="str">
        <f>IF(AND(AM268="",AM273="",AM278="",AM283="",AM288=""),"",SUM(AM268:AM291))</f>
        <v/>
      </c>
      <c r="AG266" s="1183" t="s">
        <v>379</v>
      </c>
      <c r="AH266" s="1185" t="s">
        <v>377</v>
      </c>
      <c r="AI266" s="1866" t="s">
        <v>380</v>
      </c>
      <c r="AJ266" s="1867"/>
      <c r="AK266" s="1867"/>
      <c r="AL266" s="1867"/>
      <c r="AM266" s="1868"/>
      <c r="AN266" s="1869" t="s">
        <v>389</v>
      </c>
      <c r="AO266" s="1869" t="s">
        <v>390</v>
      </c>
      <c r="AP266" s="1869" t="s">
        <v>391</v>
      </c>
      <c r="AQ266" s="1869" t="s">
        <v>392</v>
      </c>
      <c r="AR266" s="1871" t="s">
        <v>393</v>
      </c>
      <c r="AT266" s="1180" t="s">
        <v>375</v>
      </c>
      <c r="AU266" s="1181"/>
      <c r="AV266" s="1220" t="e">
        <f>IF(BB266="",#N/A,SUM(AU272:BD272,AU277:BD277,AU282:BD282,AU287:BD287,AU292:BD292))</f>
        <v>#N/A</v>
      </c>
      <c r="AW266" s="1183" t="s">
        <v>376</v>
      </c>
      <c r="AX266" s="1184" t="s">
        <v>377</v>
      </c>
      <c r="AY266" s="1181"/>
      <c r="AZ266" s="1182" t="s">
        <v>378</v>
      </c>
      <c r="BA266" s="1181"/>
      <c r="BB266" s="1220" t="str">
        <f>IF(AND(BI268="",BI273="",BI278="",BI283="",BI288=""),"",SUM(BI268:BI291))</f>
        <v/>
      </c>
      <c r="BC266" s="1183" t="s">
        <v>379</v>
      </c>
      <c r="BD266" s="1185" t="s">
        <v>377</v>
      </c>
      <c r="BE266" s="1866" t="s">
        <v>380</v>
      </c>
      <c r="BF266" s="1867"/>
      <c r="BG266" s="1867"/>
      <c r="BH266" s="1867"/>
      <c r="BI266" s="1868"/>
      <c r="BJ266" s="1869" t="s">
        <v>389</v>
      </c>
      <c r="BK266" s="1869" t="s">
        <v>390</v>
      </c>
      <c r="BL266" s="1869" t="s">
        <v>391</v>
      </c>
      <c r="BM266" s="1869" t="s">
        <v>392</v>
      </c>
      <c r="BN266" s="1871" t="s">
        <v>393</v>
      </c>
    </row>
    <row r="267" spans="2:66" ht="13.5">
      <c r="B267" s="1186" t="s">
        <v>381</v>
      </c>
      <c r="C267" s="1187">
        <v>1</v>
      </c>
      <c r="D267" s="1218">
        <v>2</v>
      </c>
      <c r="E267" s="1188">
        <v>3</v>
      </c>
      <c r="F267" s="1188">
        <v>4</v>
      </c>
      <c r="G267" s="1188">
        <v>5</v>
      </c>
      <c r="H267" s="1188">
        <v>6</v>
      </c>
      <c r="I267" s="1218">
        <v>7</v>
      </c>
      <c r="J267" s="1218">
        <v>8</v>
      </c>
      <c r="K267" s="1218">
        <v>9</v>
      </c>
      <c r="L267" s="1219">
        <v>10</v>
      </c>
      <c r="M267" s="1189" t="s">
        <v>382</v>
      </c>
      <c r="N267" s="1190" t="s">
        <v>383</v>
      </c>
      <c r="O267" s="1191" t="s">
        <v>384</v>
      </c>
      <c r="P267" s="1192" t="s">
        <v>385</v>
      </c>
      <c r="Q267" s="1193" t="s">
        <v>386</v>
      </c>
      <c r="R267" s="1870"/>
      <c r="S267" s="1870"/>
      <c r="T267" s="1870"/>
      <c r="U267" s="1870"/>
      <c r="V267" s="1872"/>
      <c r="X267" s="1186" t="s">
        <v>381</v>
      </c>
      <c r="Y267" s="1187">
        <v>1</v>
      </c>
      <c r="Z267" s="1218">
        <v>2</v>
      </c>
      <c r="AA267" s="1188">
        <v>3</v>
      </c>
      <c r="AB267" s="1188">
        <v>4</v>
      </c>
      <c r="AC267" s="1188">
        <v>5</v>
      </c>
      <c r="AD267" s="1188">
        <v>6</v>
      </c>
      <c r="AE267" s="1218">
        <v>7</v>
      </c>
      <c r="AF267" s="1218">
        <v>8</v>
      </c>
      <c r="AG267" s="1218">
        <v>9</v>
      </c>
      <c r="AH267" s="1219">
        <v>10</v>
      </c>
      <c r="AI267" s="1189" t="s">
        <v>382</v>
      </c>
      <c r="AJ267" s="1190" t="s">
        <v>383</v>
      </c>
      <c r="AK267" s="1191" t="s">
        <v>384</v>
      </c>
      <c r="AL267" s="1192" t="s">
        <v>385</v>
      </c>
      <c r="AM267" s="1193" t="s">
        <v>386</v>
      </c>
      <c r="AN267" s="1870"/>
      <c r="AO267" s="1870"/>
      <c r="AP267" s="1870"/>
      <c r="AQ267" s="1870"/>
      <c r="AR267" s="1872"/>
      <c r="AT267" s="1186" t="s">
        <v>381</v>
      </c>
      <c r="AU267" s="1187">
        <v>1</v>
      </c>
      <c r="AV267" s="1218">
        <v>2</v>
      </c>
      <c r="AW267" s="1188">
        <v>3</v>
      </c>
      <c r="AX267" s="1188">
        <v>4</v>
      </c>
      <c r="AY267" s="1188">
        <v>5</v>
      </c>
      <c r="AZ267" s="1188">
        <v>6</v>
      </c>
      <c r="BA267" s="1218">
        <v>7</v>
      </c>
      <c r="BB267" s="1218">
        <v>8</v>
      </c>
      <c r="BC267" s="1218">
        <v>9</v>
      </c>
      <c r="BD267" s="1219">
        <v>10</v>
      </c>
      <c r="BE267" s="1189" t="s">
        <v>382</v>
      </c>
      <c r="BF267" s="1190" t="s">
        <v>383</v>
      </c>
      <c r="BG267" s="1191" t="s">
        <v>384</v>
      </c>
      <c r="BH267" s="1192" t="s">
        <v>385</v>
      </c>
      <c r="BI267" s="1193" t="s">
        <v>386</v>
      </c>
      <c r="BJ267" s="1870"/>
      <c r="BK267" s="1870"/>
      <c r="BL267" s="1870"/>
      <c r="BM267" s="1870"/>
      <c r="BN267" s="1872"/>
    </row>
    <row r="268" spans="2:66" ht="14.25" customHeight="1">
      <c r="B268" s="1194" t="s">
        <v>387</v>
      </c>
      <c r="C268" s="1195"/>
      <c r="D268" s="1196"/>
      <c r="E268" s="1196"/>
      <c r="F268" s="1196"/>
      <c r="G268" s="1196"/>
      <c r="H268" s="1196"/>
      <c r="I268" s="1196"/>
      <c r="J268" s="1196"/>
      <c r="K268" s="1196"/>
      <c r="L268" s="1197"/>
      <c r="M268" s="1858">
        <f>SUM(C268:L268)</f>
        <v>0</v>
      </c>
      <c r="N268" s="1860">
        <f>SUM(C269:L269)</f>
        <v>0</v>
      </c>
      <c r="O268" s="1860">
        <f>SUM(C270:L270)</f>
        <v>0</v>
      </c>
      <c r="P268" s="1862">
        <f>SUM(C271:L271)</f>
        <v>0</v>
      </c>
      <c r="Q268" s="1854" t="str">
        <f>IF(G265="","",SUM(N268:P272))</f>
        <v/>
      </c>
      <c r="R268" s="1856"/>
      <c r="S268" s="1856"/>
      <c r="T268" s="1856"/>
      <c r="U268" s="1856"/>
      <c r="V268" s="1864" t="s">
        <v>394</v>
      </c>
      <c r="X268" s="1194" t="s">
        <v>387</v>
      </c>
      <c r="Y268" s="1195"/>
      <c r="Z268" s="1196"/>
      <c r="AA268" s="1196"/>
      <c r="AB268" s="1196"/>
      <c r="AC268" s="1196"/>
      <c r="AD268" s="1196"/>
      <c r="AE268" s="1196"/>
      <c r="AF268" s="1196"/>
      <c r="AG268" s="1196"/>
      <c r="AH268" s="1197"/>
      <c r="AI268" s="1858">
        <f>SUM(Y268:AH268)</f>
        <v>0</v>
      </c>
      <c r="AJ268" s="1860">
        <f>SUM(Y269:AH269)</f>
        <v>0</v>
      </c>
      <c r="AK268" s="1860">
        <f>SUM(Y270:AH270)</f>
        <v>0</v>
      </c>
      <c r="AL268" s="1862">
        <f>SUM(Y271:AH271)</f>
        <v>0</v>
      </c>
      <c r="AM268" s="1854" t="str">
        <f>IF(AC265="","",SUM(AJ268:AL272))</f>
        <v/>
      </c>
      <c r="AN268" s="1856"/>
      <c r="AO268" s="1856"/>
      <c r="AP268" s="1856"/>
      <c r="AQ268" s="1856"/>
      <c r="AR268" s="1864" t="s">
        <v>394</v>
      </c>
      <c r="AT268" s="1194" t="s">
        <v>387</v>
      </c>
      <c r="AU268" s="1195"/>
      <c r="AV268" s="1196"/>
      <c r="AW268" s="1196"/>
      <c r="AX268" s="1196"/>
      <c r="AY268" s="1196"/>
      <c r="AZ268" s="1196"/>
      <c r="BA268" s="1196"/>
      <c r="BB268" s="1196"/>
      <c r="BC268" s="1196"/>
      <c r="BD268" s="1197"/>
      <c r="BE268" s="1858">
        <f>SUM(AU268:BD268)</f>
        <v>0</v>
      </c>
      <c r="BF268" s="1860">
        <f>SUM(AU269:BD269)</f>
        <v>0</v>
      </c>
      <c r="BG268" s="1860">
        <f>SUM(AU270:BD270)</f>
        <v>0</v>
      </c>
      <c r="BH268" s="1862">
        <f>SUM(AU271:BD271)</f>
        <v>0</v>
      </c>
      <c r="BI268" s="1854" t="str">
        <f>IF(AY265="","",SUM(BF268:BH272))</f>
        <v/>
      </c>
      <c r="BJ268" s="1856"/>
      <c r="BK268" s="1856"/>
      <c r="BL268" s="1856"/>
      <c r="BM268" s="1856"/>
      <c r="BN268" s="1864" t="s">
        <v>394</v>
      </c>
    </row>
    <row r="269" spans="2:66" ht="13.5">
      <c r="B269" s="1198" t="s">
        <v>383</v>
      </c>
      <c r="C269" s="1199"/>
      <c r="D269" s="1200"/>
      <c r="E269" s="1200"/>
      <c r="F269" s="1200"/>
      <c r="G269" s="1200"/>
      <c r="H269" s="1200"/>
      <c r="I269" s="1200"/>
      <c r="J269" s="1200"/>
      <c r="K269" s="1200"/>
      <c r="L269" s="1201"/>
      <c r="M269" s="1843"/>
      <c r="N269" s="1846"/>
      <c r="O269" s="1846"/>
      <c r="P269" s="1849"/>
      <c r="Q269" s="1852"/>
      <c r="R269" s="1840"/>
      <c r="S269" s="1840"/>
      <c r="T269" s="1840"/>
      <c r="U269" s="1840"/>
      <c r="V269" s="1837"/>
      <c r="X269" s="1198" t="s">
        <v>383</v>
      </c>
      <c r="Y269" s="1199"/>
      <c r="Z269" s="1200"/>
      <c r="AA269" s="1200"/>
      <c r="AB269" s="1200"/>
      <c r="AC269" s="1200"/>
      <c r="AD269" s="1200"/>
      <c r="AE269" s="1200"/>
      <c r="AF269" s="1200"/>
      <c r="AG269" s="1200"/>
      <c r="AH269" s="1201"/>
      <c r="AI269" s="1843"/>
      <c r="AJ269" s="1846"/>
      <c r="AK269" s="1846"/>
      <c r="AL269" s="1849"/>
      <c r="AM269" s="1852"/>
      <c r="AN269" s="1840"/>
      <c r="AO269" s="1840"/>
      <c r="AP269" s="1840"/>
      <c r="AQ269" s="1840"/>
      <c r="AR269" s="1837"/>
      <c r="AT269" s="1198" t="s">
        <v>383</v>
      </c>
      <c r="AU269" s="1199"/>
      <c r="AV269" s="1200"/>
      <c r="AW269" s="1200"/>
      <c r="AX269" s="1200"/>
      <c r="AY269" s="1200"/>
      <c r="AZ269" s="1200"/>
      <c r="BA269" s="1200"/>
      <c r="BB269" s="1200"/>
      <c r="BC269" s="1200"/>
      <c r="BD269" s="1201"/>
      <c r="BE269" s="1843"/>
      <c r="BF269" s="1846"/>
      <c r="BG269" s="1846"/>
      <c r="BH269" s="1849"/>
      <c r="BI269" s="1852"/>
      <c r="BJ269" s="1840"/>
      <c r="BK269" s="1840"/>
      <c r="BL269" s="1840"/>
      <c r="BM269" s="1840"/>
      <c r="BN269" s="1837"/>
    </row>
    <row r="270" spans="2:66" ht="13.5">
      <c r="B270" s="1202" t="s">
        <v>384</v>
      </c>
      <c r="C270" s="1203"/>
      <c r="D270" s="1204"/>
      <c r="E270" s="1204"/>
      <c r="F270" s="1204"/>
      <c r="G270" s="1204"/>
      <c r="H270" s="1204"/>
      <c r="I270" s="1204"/>
      <c r="J270" s="1204"/>
      <c r="K270" s="1204"/>
      <c r="L270" s="1205"/>
      <c r="M270" s="1843"/>
      <c r="N270" s="1846"/>
      <c r="O270" s="1846"/>
      <c r="P270" s="1849"/>
      <c r="Q270" s="1852"/>
      <c r="R270" s="1840"/>
      <c r="S270" s="1840"/>
      <c r="T270" s="1840"/>
      <c r="U270" s="1840"/>
      <c r="V270" s="1837"/>
      <c r="X270" s="1202" t="s">
        <v>384</v>
      </c>
      <c r="Y270" s="1203"/>
      <c r="Z270" s="1204"/>
      <c r="AA270" s="1204"/>
      <c r="AB270" s="1204"/>
      <c r="AC270" s="1204"/>
      <c r="AD270" s="1204"/>
      <c r="AE270" s="1204"/>
      <c r="AF270" s="1204"/>
      <c r="AG270" s="1204"/>
      <c r="AH270" s="1205"/>
      <c r="AI270" s="1843"/>
      <c r="AJ270" s="1846"/>
      <c r="AK270" s="1846"/>
      <c r="AL270" s="1849"/>
      <c r="AM270" s="1852"/>
      <c r="AN270" s="1840"/>
      <c r="AO270" s="1840"/>
      <c r="AP270" s="1840"/>
      <c r="AQ270" s="1840"/>
      <c r="AR270" s="1837"/>
      <c r="AT270" s="1202" t="s">
        <v>384</v>
      </c>
      <c r="AU270" s="1203"/>
      <c r="AV270" s="1204"/>
      <c r="AW270" s="1204"/>
      <c r="AX270" s="1204"/>
      <c r="AY270" s="1204"/>
      <c r="AZ270" s="1204"/>
      <c r="BA270" s="1204"/>
      <c r="BB270" s="1204"/>
      <c r="BC270" s="1204"/>
      <c r="BD270" s="1205"/>
      <c r="BE270" s="1843"/>
      <c r="BF270" s="1846"/>
      <c r="BG270" s="1846"/>
      <c r="BH270" s="1849"/>
      <c r="BI270" s="1852"/>
      <c r="BJ270" s="1840"/>
      <c r="BK270" s="1840"/>
      <c r="BL270" s="1840"/>
      <c r="BM270" s="1840"/>
      <c r="BN270" s="1837"/>
    </row>
    <row r="271" spans="2:66" ht="13.5">
      <c r="B271" s="1206" t="s">
        <v>385</v>
      </c>
      <c r="C271" s="1207"/>
      <c r="D271" s="1208"/>
      <c r="E271" s="1208"/>
      <c r="F271" s="1208"/>
      <c r="G271" s="1208"/>
      <c r="H271" s="1208"/>
      <c r="I271" s="1208"/>
      <c r="J271" s="1208"/>
      <c r="K271" s="1208"/>
      <c r="L271" s="1209"/>
      <c r="M271" s="1843"/>
      <c r="N271" s="1846"/>
      <c r="O271" s="1846"/>
      <c r="P271" s="1849"/>
      <c r="Q271" s="1852"/>
      <c r="R271" s="1840"/>
      <c r="S271" s="1840"/>
      <c r="T271" s="1840"/>
      <c r="U271" s="1840"/>
      <c r="V271" s="1837"/>
      <c r="X271" s="1206" t="s">
        <v>385</v>
      </c>
      <c r="Y271" s="1207"/>
      <c r="Z271" s="1208"/>
      <c r="AA271" s="1208"/>
      <c r="AB271" s="1208"/>
      <c r="AC271" s="1208"/>
      <c r="AD271" s="1208"/>
      <c r="AE271" s="1208"/>
      <c r="AF271" s="1208"/>
      <c r="AG271" s="1208"/>
      <c r="AH271" s="1209"/>
      <c r="AI271" s="1843"/>
      <c r="AJ271" s="1846"/>
      <c r="AK271" s="1846"/>
      <c r="AL271" s="1849"/>
      <c r="AM271" s="1852"/>
      <c r="AN271" s="1840"/>
      <c r="AO271" s="1840"/>
      <c r="AP271" s="1840"/>
      <c r="AQ271" s="1840"/>
      <c r="AR271" s="1837"/>
      <c r="AT271" s="1206" t="s">
        <v>385</v>
      </c>
      <c r="AU271" s="1207"/>
      <c r="AV271" s="1208"/>
      <c r="AW271" s="1208"/>
      <c r="AX271" s="1208"/>
      <c r="AY271" s="1208"/>
      <c r="AZ271" s="1208"/>
      <c r="BA271" s="1208"/>
      <c r="BB271" s="1208"/>
      <c r="BC271" s="1208"/>
      <c r="BD271" s="1209"/>
      <c r="BE271" s="1843"/>
      <c r="BF271" s="1846"/>
      <c r="BG271" s="1846"/>
      <c r="BH271" s="1849"/>
      <c r="BI271" s="1852"/>
      <c r="BJ271" s="1840"/>
      <c r="BK271" s="1840"/>
      <c r="BL271" s="1840"/>
      <c r="BM271" s="1840"/>
      <c r="BN271" s="1837"/>
    </row>
    <row r="272" spans="2:66" ht="14" thickBot="1">
      <c r="B272" s="1210" t="s">
        <v>388</v>
      </c>
      <c r="C272" s="1221" t="str">
        <f>IF(OR(C269&gt;0,C270&gt;0,C271&gt;0),1,"")</f>
        <v/>
      </c>
      <c r="D272" s="1222" t="str">
        <f>IF(OR(D269&gt;0,D270&gt;0,D271&gt;0),1,"")</f>
        <v/>
      </c>
      <c r="E272" s="1222" t="str">
        <f t="shared" ref="E272:L272" si="135">IF(OR(E269&gt;0,E270&gt;0,E271&gt;0),1,"")</f>
        <v/>
      </c>
      <c r="F272" s="1222" t="str">
        <f t="shared" si="135"/>
        <v/>
      </c>
      <c r="G272" s="1222" t="str">
        <f t="shared" si="135"/>
        <v/>
      </c>
      <c r="H272" s="1222" t="str">
        <f t="shared" si="135"/>
        <v/>
      </c>
      <c r="I272" s="1222" t="str">
        <f t="shared" si="135"/>
        <v/>
      </c>
      <c r="J272" s="1222" t="str">
        <f t="shared" si="135"/>
        <v/>
      </c>
      <c r="K272" s="1222" t="str">
        <f t="shared" si="135"/>
        <v/>
      </c>
      <c r="L272" s="1222" t="str">
        <f t="shared" si="135"/>
        <v/>
      </c>
      <c r="M272" s="1859"/>
      <c r="N272" s="1861"/>
      <c r="O272" s="1861"/>
      <c r="P272" s="1863"/>
      <c r="Q272" s="1855"/>
      <c r="R272" s="1857"/>
      <c r="S272" s="1857"/>
      <c r="T272" s="1857"/>
      <c r="U272" s="1857"/>
      <c r="V272" s="1865"/>
      <c r="X272" s="1210" t="s">
        <v>388</v>
      </c>
      <c r="Y272" s="1221" t="str">
        <f>IF(OR(Y269&gt;0,Y270&gt;0,Y271&gt;0),1,"")</f>
        <v/>
      </c>
      <c r="Z272" s="1222" t="str">
        <f>IF(OR(Z269&gt;0,Z270&gt;0,Z271&gt;0),1,"")</f>
        <v/>
      </c>
      <c r="AA272" s="1222" t="str">
        <f t="shared" ref="AA272:AH272" si="136">IF(OR(AA269&gt;0,AA270&gt;0,AA271&gt;0),1,"")</f>
        <v/>
      </c>
      <c r="AB272" s="1222" t="str">
        <f t="shared" si="136"/>
        <v/>
      </c>
      <c r="AC272" s="1222" t="str">
        <f t="shared" si="136"/>
        <v/>
      </c>
      <c r="AD272" s="1222" t="str">
        <f t="shared" si="136"/>
        <v/>
      </c>
      <c r="AE272" s="1222" t="str">
        <f t="shared" si="136"/>
        <v/>
      </c>
      <c r="AF272" s="1222" t="str">
        <f t="shared" si="136"/>
        <v/>
      </c>
      <c r="AG272" s="1222" t="str">
        <f t="shared" si="136"/>
        <v/>
      </c>
      <c r="AH272" s="1222" t="str">
        <f t="shared" si="136"/>
        <v/>
      </c>
      <c r="AI272" s="1859"/>
      <c r="AJ272" s="1861"/>
      <c r="AK272" s="1861"/>
      <c r="AL272" s="1863"/>
      <c r="AM272" s="1855"/>
      <c r="AN272" s="1857"/>
      <c r="AO272" s="1857"/>
      <c r="AP272" s="1857"/>
      <c r="AQ272" s="1857"/>
      <c r="AR272" s="1865"/>
      <c r="AT272" s="1210" t="s">
        <v>388</v>
      </c>
      <c r="AU272" s="1221" t="str">
        <f>IF(OR(AU269&gt;0,AU270&gt;0,AU271&gt;0),1,"")</f>
        <v/>
      </c>
      <c r="AV272" s="1222" t="str">
        <f>IF(OR(AV269&gt;0,AV270&gt;0,AV271&gt;0),1,"")</f>
        <v/>
      </c>
      <c r="AW272" s="1222" t="str">
        <f t="shared" ref="AW272:BD272" si="137">IF(OR(AW269&gt;0,AW270&gt;0,AW271&gt;0),1,"")</f>
        <v/>
      </c>
      <c r="AX272" s="1222" t="str">
        <f t="shared" si="137"/>
        <v/>
      </c>
      <c r="AY272" s="1222" t="str">
        <f t="shared" si="137"/>
        <v/>
      </c>
      <c r="AZ272" s="1222" t="str">
        <f t="shared" si="137"/>
        <v/>
      </c>
      <c r="BA272" s="1222" t="str">
        <f t="shared" si="137"/>
        <v/>
      </c>
      <c r="BB272" s="1222" t="str">
        <f t="shared" si="137"/>
        <v/>
      </c>
      <c r="BC272" s="1222" t="str">
        <f t="shared" si="137"/>
        <v/>
      </c>
      <c r="BD272" s="1222" t="str">
        <f t="shared" si="137"/>
        <v/>
      </c>
      <c r="BE272" s="1859"/>
      <c r="BF272" s="1861"/>
      <c r="BG272" s="1861"/>
      <c r="BH272" s="1863"/>
      <c r="BI272" s="1855"/>
      <c r="BJ272" s="1857"/>
      <c r="BK272" s="1857"/>
      <c r="BL272" s="1857"/>
      <c r="BM272" s="1857"/>
      <c r="BN272" s="1865"/>
    </row>
    <row r="273" spans="2:66" ht="15" customHeight="1" thickTop="1">
      <c r="B273" s="1211" t="s">
        <v>387</v>
      </c>
      <c r="C273" s="1212"/>
      <c r="D273" s="1213"/>
      <c r="E273" s="1213"/>
      <c r="F273" s="1213"/>
      <c r="G273" s="1213"/>
      <c r="H273" s="1213"/>
      <c r="I273" s="1213"/>
      <c r="J273" s="1213"/>
      <c r="K273" s="1213"/>
      <c r="L273" s="1214"/>
      <c r="M273" s="1858">
        <f>SUM(C273:L273)</f>
        <v>0</v>
      </c>
      <c r="N273" s="1860">
        <f>SUM(C274:L274)</f>
        <v>0</v>
      </c>
      <c r="O273" s="1860">
        <f>SUM(C275:L275)</f>
        <v>0</v>
      </c>
      <c r="P273" s="1862">
        <f>SUM(C276:L276)</f>
        <v>0</v>
      </c>
      <c r="Q273" s="1854" t="str">
        <f>IF(G265="","",SUM(N273:P277))</f>
        <v/>
      </c>
      <c r="R273" s="1856"/>
      <c r="S273" s="1856"/>
      <c r="T273" s="1856"/>
      <c r="U273" s="1856"/>
      <c r="V273" s="1864" t="s">
        <v>395</v>
      </c>
      <c r="X273" s="1211" t="s">
        <v>387</v>
      </c>
      <c r="Y273" s="1212"/>
      <c r="Z273" s="1213"/>
      <c r="AA273" s="1213"/>
      <c r="AB273" s="1213"/>
      <c r="AC273" s="1213"/>
      <c r="AD273" s="1213"/>
      <c r="AE273" s="1213"/>
      <c r="AF273" s="1213"/>
      <c r="AG273" s="1213"/>
      <c r="AH273" s="1214"/>
      <c r="AI273" s="1858">
        <f>SUM(Y273:AH273)</f>
        <v>0</v>
      </c>
      <c r="AJ273" s="1860">
        <f>SUM(Y274:AH274)</f>
        <v>0</v>
      </c>
      <c r="AK273" s="1860">
        <f>SUM(Y275:AH275)</f>
        <v>0</v>
      </c>
      <c r="AL273" s="1862">
        <f>SUM(Y276:AH276)</f>
        <v>0</v>
      </c>
      <c r="AM273" s="1854" t="str">
        <f>IF(AC265="","",SUM(AJ273:AL277))</f>
        <v/>
      </c>
      <c r="AN273" s="1856"/>
      <c r="AO273" s="1856"/>
      <c r="AP273" s="1856"/>
      <c r="AQ273" s="1856"/>
      <c r="AR273" s="1864" t="s">
        <v>395</v>
      </c>
      <c r="AT273" s="1211" t="s">
        <v>387</v>
      </c>
      <c r="AU273" s="1212"/>
      <c r="AV273" s="1213"/>
      <c r="AW273" s="1213"/>
      <c r="AX273" s="1213"/>
      <c r="AY273" s="1213"/>
      <c r="AZ273" s="1213"/>
      <c r="BA273" s="1213"/>
      <c r="BB273" s="1213"/>
      <c r="BC273" s="1213"/>
      <c r="BD273" s="1214"/>
      <c r="BE273" s="1858">
        <f>SUM(AU273:BD273)</f>
        <v>0</v>
      </c>
      <c r="BF273" s="1860">
        <f>SUM(AU274:BD274)</f>
        <v>0</v>
      </c>
      <c r="BG273" s="1860">
        <f>SUM(AU275:BD275)</f>
        <v>0</v>
      </c>
      <c r="BH273" s="1862">
        <f>SUM(AU276:BD276)</f>
        <v>0</v>
      </c>
      <c r="BI273" s="1854" t="str">
        <f>IF(AY265="","",SUM(BF273:BH277))</f>
        <v/>
      </c>
      <c r="BJ273" s="1856"/>
      <c r="BK273" s="1856"/>
      <c r="BL273" s="1856"/>
      <c r="BM273" s="1856"/>
      <c r="BN273" s="1864" t="s">
        <v>395</v>
      </c>
    </row>
    <row r="274" spans="2:66" ht="13.5">
      <c r="B274" s="1198" t="s">
        <v>383</v>
      </c>
      <c r="C274" s="1199"/>
      <c r="D274" s="1200"/>
      <c r="E274" s="1200"/>
      <c r="F274" s="1200"/>
      <c r="G274" s="1200"/>
      <c r="H274" s="1200"/>
      <c r="I274" s="1200"/>
      <c r="J274" s="1200"/>
      <c r="K274" s="1200"/>
      <c r="L274" s="1201"/>
      <c r="M274" s="1843"/>
      <c r="N274" s="1846"/>
      <c r="O274" s="1846"/>
      <c r="P274" s="1849"/>
      <c r="Q274" s="1852"/>
      <c r="R274" s="1840"/>
      <c r="S274" s="1840"/>
      <c r="T274" s="1840"/>
      <c r="U274" s="1840"/>
      <c r="V274" s="1837"/>
      <c r="X274" s="1198" t="s">
        <v>383</v>
      </c>
      <c r="Y274" s="1199"/>
      <c r="Z274" s="1200"/>
      <c r="AA274" s="1200"/>
      <c r="AB274" s="1200"/>
      <c r="AC274" s="1200"/>
      <c r="AD274" s="1200"/>
      <c r="AE274" s="1200"/>
      <c r="AF274" s="1200"/>
      <c r="AG274" s="1200"/>
      <c r="AH274" s="1201"/>
      <c r="AI274" s="1843"/>
      <c r="AJ274" s="1846"/>
      <c r="AK274" s="1846"/>
      <c r="AL274" s="1849"/>
      <c r="AM274" s="1852"/>
      <c r="AN274" s="1840"/>
      <c r="AO274" s="1840"/>
      <c r="AP274" s="1840"/>
      <c r="AQ274" s="1840"/>
      <c r="AR274" s="1837"/>
      <c r="AT274" s="1198" t="s">
        <v>383</v>
      </c>
      <c r="AU274" s="1199"/>
      <c r="AV274" s="1200"/>
      <c r="AW274" s="1200"/>
      <c r="AX274" s="1200"/>
      <c r="AY274" s="1200"/>
      <c r="AZ274" s="1200"/>
      <c r="BA274" s="1200"/>
      <c r="BB274" s="1200"/>
      <c r="BC274" s="1200"/>
      <c r="BD274" s="1201"/>
      <c r="BE274" s="1843"/>
      <c r="BF274" s="1846"/>
      <c r="BG274" s="1846"/>
      <c r="BH274" s="1849"/>
      <c r="BI274" s="1852"/>
      <c r="BJ274" s="1840"/>
      <c r="BK274" s="1840"/>
      <c r="BL274" s="1840"/>
      <c r="BM274" s="1840"/>
      <c r="BN274" s="1837"/>
    </row>
    <row r="275" spans="2:66" ht="13.5">
      <c r="B275" s="1202" t="s">
        <v>384</v>
      </c>
      <c r="C275" s="1203"/>
      <c r="D275" s="1204"/>
      <c r="E275" s="1204"/>
      <c r="F275" s="1204"/>
      <c r="G275" s="1204"/>
      <c r="H275" s="1204"/>
      <c r="I275" s="1204"/>
      <c r="J275" s="1204"/>
      <c r="K275" s="1204"/>
      <c r="L275" s="1205"/>
      <c r="M275" s="1843"/>
      <c r="N275" s="1846"/>
      <c r="O275" s="1846"/>
      <c r="P275" s="1849"/>
      <c r="Q275" s="1852"/>
      <c r="R275" s="1840"/>
      <c r="S275" s="1840"/>
      <c r="T275" s="1840"/>
      <c r="U275" s="1840"/>
      <c r="V275" s="1837"/>
      <c r="X275" s="1202" t="s">
        <v>384</v>
      </c>
      <c r="Y275" s="1203"/>
      <c r="Z275" s="1204"/>
      <c r="AA275" s="1204"/>
      <c r="AB275" s="1204"/>
      <c r="AC275" s="1204"/>
      <c r="AD275" s="1204"/>
      <c r="AE275" s="1204"/>
      <c r="AF275" s="1204"/>
      <c r="AG275" s="1204"/>
      <c r="AH275" s="1205"/>
      <c r="AI275" s="1843"/>
      <c r="AJ275" s="1846"/>
      <c r="AK275" s="1846"/>
      <c r="AL275" s="1849"/>
      <c r="AM275" s="1852"/>
      <c r="AN275" s="1840"/>
      <c r="AO275" s="1840"/>
      <c r="AP275" s="1840"/>
      <c r="AQ275" s="1840"/>
      <c r="AR275" s="1837"/>
      <c r="AT275" s="1202" t="s">
        <v>384</v>
      </c>
      <c r="AU275" s="1203"/>
      <c r="AV275" s="1204"/>
      <c r="AW275" s="1204"/>
      <c r="AX275" s="1204"/>
      <c r="AY275" s="1204"/>
      <c r="AZ275" s="1204"/>
      <c r="BA275" s="1204"/>
      <c r="BB275" s="1204"/>
      <c r="BC275" s="1204"/>
      <c r="BD275" s="1205"/>
      <c r="BE275" s="1843"/>
      <c r="BF275" s="1846"/>
      <c r="BG275" s="1846"/>
      <c r="BH275" s="1849"/>
      <c r="BI275" s="1852"/>
      <c r="BJ275" s="1840"/>
      <c r="BK275" s="1840"/>
      <c r="BL275" s="1840"/>
      <c r="BM275" s="1840"/>
      <c r="BN275" s="1837"/>
    </row>
    <row r="276" spans="2:66" ht="13.5">
      <c r="B276" s="1202" t="s">
        <v>385</v>
      </c>
      <c r="C276" s="1203"/>
      <c r="D276" s="1204"/>
      <c r="E276" s="1204"/>
      <c r="F276" s="1204"/>
      <c r="G276" s="1204"/>
      <c r="H276" s="1204"/>
      <c r="I276" s="1204"/>
      <c r="J276" s="1204"/>
      <c r="K276" s="1204"/>
      <c r="L276" s="1205"/>
      <c r="M276" s="1843"/>
      <c r="N276" s="1846"/>
      <c r="O276" s="1846"/>
      <c r="P276" s="1849"/>
      <c r="Q276" s="1852"/>
      <c r="R276" s="1840"/>
      <c r="S276" s="1840"/>
      <c r="T276" s="1840"/>
      <c r="U276" s="1840"/>
      <c r="V276" s="1837"/>
      <c r="X276" s="1202" t="s">
        <v>385</v>
      </c>
      <c r="Y276" s="1203"/>
      <c r="Z276" s="1204"/>
      <c r="AA276" s="1204"/>
      <c r="AB276" s="1204"/>
      <c r="AC276" s="1204"/>
      <c r="AD276" s="1204"/>
      <c r="AE276" s="1204"/>
      <c r="AF276" s="1204"/>
      <c r="AG276" s="1204"/>
      <c r="AH276" s="1205"/>
      <c r="AI276" s="1843"/>
      <c r="AJ276" s="1846"/>
      <c r="AK276" s="1846"/>
      <c r="AL276" s="1849"/>
      <c r="AM276" s="1852"/>
      <c r="AN276" s="1840"/>
      <c r="AO276" s="1840"/>
      <c r="AP276" s="1840"/>
      <c r="AQ276" s="1840"/>
      <c r="AR276" s="1837"/>
      <c r="AT276" s="1202" t="s">
        <v>385</v>
      </c>
      <c r="AU276" s="1203"/>
      <c r="AV276" s="1204"/>
      <c r="AW276" s="1204"/>
      <c r="AX276" s="1204"/>
      <c r="AY276" s="1204"/>
      <c r="AZ276" s="1204"/>
      <c r="BA276" s="1204"/>
      <c r="BB276" s="1204"/>
      <c r="BC276" s="1204"/>
      <c r="BD276" s="1205"/>
      <c r="BE276" s="1843"/>
      <c r="BF276" s="1846"/>
      <c r="BG276" s="1846"/>
      <c r="BH276" s="1849"/>
      <c r="BI276" s="1852"/>
      <c r="BJ276" s="1840"/>
      <c r="BK276" s="1840"/>
      <c r="BL276" s="1840"/>
      <c r="BM276" s="1840"/>
      <c r="BN276" s="1837"/>
    </row>
    <row r="277" spans="2:66" ht="14" thickBot="1">
      <c r="B277" s="1210" t="s">
        <v>388</v>
      </c>
      <c r="C277" s="1221" t="str">
        <f>IF(OR(C274&gt;0,C275&gt;0,C276&gt;0),1,"")</f>
        <v/>
      </c>
      <c r="D277" s="1222" t="str">
        <f>IF(OR(D274&gt;0,D275&gt;0,D276&gt;0),1,"")</f>
        <v/>
      </c>
      <c r="E277" s="1222" t="str">
        <f t="shared" ref="E277:L277" si="138">IF(OR(E274&gt;0,E275&gt;0,E276&gt;0),1,"")</f>
        <v/>
      </c>
      <c r="F277" s="1222" t="str">
        <f t="shared" si="138"/>
        <v/>
      </c>
      <c r="G277" s="1222" t="str">
        <f t="shared" si="138"/>
        <v/>
      </c>
      <c r="H277" s="1222" t="str">
        <f t="shared" si="138"/>
        <v/>
      </c>
      <c r="I277" s="1222" t="str">
        <f t="shared" si="138"/>
        <v/>
      </c>
      <c r="J277" s="1222" t="str">
        <f t="shared" si="138"/>
        <v/>
      </c>
      <c r="K277" s="1222" t="str">
        <f t="shared" si="138"/>
        <v/>
      </c>
      <c r="L277" s="1222" t="str">
        <f t="shared" si="138"/>
        <v/>
      </c>
      <c r="M277" s="1859"/>
      <c r="N277" s="1861"/>
      <c r="O277" s="1861"/>
      <c r="P277" s="1863"/>
      <c r="Q277" s="1855"/>
      <c r="R277" s="1857"/>
      <c r="S277" s="1857"/>
      <c r="T277" s="1857"/>
      <c r="U277" s="1857"/>
      <c r="V277" s="1865"/>
      <c r="X277" s="1210" t="s">
        <v>388</v>
      </c>
      <c r="Y277" s="1221" t="str">
        <f>IF(OR(Y274&gt;0,Y275&gt;0,Y276&gt;0),1,"")</f>
        <v/>
      </c>
      <c r="Z277" s="1222" t="str">
        <f>IF(OR(Z274&gt;0,Z275&gt;0,Z276&gt;0),1,"")</f>
        <v/>
      </c>
      <c r="AA277" s="1222" t="str">
        <f t="shared" ref="AA277:AH277" si="139">IF(OR(AA274&gt;0,AA275&gt;0,AA276&gt;0),1,"")</f>
        <v/>
      </c>
      <c r="AB277" s="1222" t="str">
        <f t="shared" si="139"/>
        <v/>
      </c>
      <c r="AC277" s="1222" t="str">
        <f t="shared" si="139"/>
        <v/>
      </c>
      <c r="AD277" s="1222" t="str">
        <f t="shared" si="139"/>
        <v/>
      </c>
      <c r="AE277" s="1222" t="str">
        <f t="shared" si="139"/>
        <v/>
      </c>
      <c r="AF277" s="1222" t="str">
        <f t="shared" si="139"/>
        <v/>
      </c>
      <c r="AG277" s="1222" t="str">
        <f t="shared" si="139"/>
        <v/>
      </c>
      <c r="AH277" s="1222" t="str">
        <f t="shared" si="139"/>
        <v/>
      </c>
      <c r="AI277" s="1859"/>
      <c r="AJ277" s="1861"/>
      <c r="AK277" s="1861"/>
      <c r="AL277" s="1863"/>
      <c r="AM277" s="1855"/>
      <c r="AN277" s="1857"/>
      <c r="AO277" s="1857"/>
      <c r="AP277" s="1857"/>
      <c r="AQ277" s="1857"/>
      <c r="AR277" s="1865"/>
      <c r="AT277" s="1210" t="s">
        <v>388</v>
      </c>
      <c r="AU277" s="1221" t="str">
        <f>IF(OR(AU274&gt;0,AU275&gt;0,AU276&gt;0),1,"")</f>
        <v/>
      </c>
      <c r="AV277" s="1222" t="str">
        <f>IF(OR(AV274&gt;0,AV275&gt;0,AV276&gt;0),1,"")</f>
        <v/>
      </c>
      <c r="AW277" s="1222" t="str">
        <f t="shared" ref="AW277:BD277" si="140">IF(OR(AW274&gt;0,AW275&gt;0,AW276&gt;0),1,"")</f>
        <v/>
      </c>
      <c r="AX277" s="1222" t="str">
        <f t="shared" si="140"/>
        <v/>
      </c>
      <c r="AY277" s="1222" t="str">
        <f t="shared" si="140"/>
        <v/>
      </c>
      <c r="AZ277" s="1222" t="str">
        <f t="shared" si="140"/>
        <v/>
      </c>
      <c r="BA277" s="1222" t="str">
        <f t="shared" si="140"/>
        <v/>
      </c>
      <c r="BB277" s="1222" t="str">
        <f t="shared" si="140"/>
        <v/>
      </c>
      <c r="BC277" s="1222" t="str">
        <f t="shared" si="140"/>
        <v/>
      </c>
      <c r="BD277" s="1222" t="str">
        <f t="shared" si="140"/>
        <v/>
      </c>
      <c r="BE277" s="1859"/>
      <c r="BF277" s="1861"/>
      <c r="BG277" s="1861"/>
      <c r="BH277" s="1863"/>
      <c r="BI277" s="1855"/>
      <c r="BJ277" s="1857"/>
      <c r="BK277" s="1857"/>
      <c r="BL277" s="1857"/>
      <c r="BM277" s="1857"/>
      <c r="BN277" s="1865"/>
    </row>
    <row r="278" spans="2:66" ht="15" customHeight="1" thickTop="1">
      <c r="B278" s="1194" t="s">
        <v>387</v>
      </c>
      <c r="C278" s="1195"/>
      <c r="D278" s="1196"/>
      <c r="E278" s="1196"/>
      <c r="F278" s="1196"/>
      <c r="G278" s="1196"/>
      <c r="H278" s="1196"/>
      <c r="I278" s="1196"/>
      <c r="J278" s="1196"/>
      <c r="K278" s="1196"/>
      <c r="L278" s="1197"/>
      <c r="M278" s="1858">
        <f>SUM(C278:L278)</f>
        <v>0</v>
      </c>
      <c r="N278" s="1860">
        <f>SUM(C279:L279)</f>
        <v>0</v>
      </c>
      <c r="O278" s="1860">
        <f>SUM(C280:L280)</f>
        <v>0</v>
      </c>
      <c r="P278" s="1862">
        <f>SUM(C281:L281)</f>
        <v>0</v>
      </c>
      <c r="Q278" s="1854" t="str">
        <f>IF(G265="","",SUM(N278:P282))</f>
        <v/>
      </c>
      <c r="R278" s="1856"/>
      <c r="S278" s="1856"/>
      <c r="T278" s="1856"/>
      <c r="U278" s="1856"/>
      <c r="V278" s="1864" t="s">
        <v>395</v>
      </c>
      <c r="X278" s="1194" t="s">
        <v>387</v>
      </c>
      <c r="Y278" s="1195"/>
      <c r="Z278" s="1196"/>
      <c r="AA278" s="1196"/>
      <c r="AB278" s="1196"/>
      <c r="AC278" s="1196"/>
      <c r="AD278" s="1196"/>
      <c r="AE278" s="1196"/>
      <c r="AF278" s="1196"/>
      <c r="AG278" s="1196"/>
      <c r="AH278" s="1197"/>
      <c r="AI278" s="1858">
        <f>SUM(Y278:AH278)</f>
        <v>0</v>
      </c>
      <c r="AJ278" s="1860">
        <f>SUM(Y279:AH279)</f>
        <v>0</v>
      </c>
      <c r="AK278" s="1860">
        <f>SUM(Y280:AH280)</f>
        <v>0</v>
      </c>
      <c r="AL278" s="1862">
        <f>SUM(Y281:AH281)</f>
        <v>0</v>
      </c>
      <c r="AM278" s="1854" t="str">
        <f>IF(AC265="","",SUM(AJ278:AL282))</f>
        <v/>
      </c>
      <c r="AN278" s="1856"/>
      <c r="AO278" s="1856"/>
      <c r="AP278" s="1856"/>
      <c r="AQ278" s="1856"/>
      <c r="AR278" s="1864" t="s">
        <v>395</v>
      </c>
      <c r="AT278" s="1194" t="s">
        <v>387</v>
      </c>
      <c r="AU278" s="1195"/>
      <c r="AV278" s="1196"/>
      <c r="AW278" s="1196"/>
      <c r="AX278" s="1196"/>
      <c r="AY278" s="1196"/>
      <c r="AZ278" s="1196"/>
      <c r="BA278" s="1196"/>
      <c r="BB278" s="1196"/>
      <c r="BC278" s="1196"/>
      <c r="BD278" s="1197"/>
      <c r="BE278" s="1858">
        <f>SUM(AU278:BD278)</f>
        <v>0</v>
      </c>
      <c r="BF278" s="1860">
        <f>SUM(AU279:BD279)</f>
        <v>0</v>
      </c>
      <c r="BG278" s="1860">
        <f>SUM(AU280:BD280)</f>
        <v>0</v>
      </c>
      <c r="BH278" s="1862">
        <f>SUM(AU281:BD281)</f>
        <v>0</v>
      </c>
      <c r="BI278" s="1854" t="str">
        <f>IF(AY265="","",SUM(BF278:BH282))</f>
        <v/>
      </c>
      <c r="BJ278" s="1856"/>
      <c r="BK278" s="1856"/>
      <c r="BL278" s="1856"/>
      <c r="BM278" s="1856"/>
      <c r="BN278" s="1864" t="s">
        <v>395</v>
      </c>
    </row>
    <row r="279" spans="2:66" ht="13.5">
      <c r="B279" s="1198" t="s">
        <v>383</v>
      </c>
      <c r="C279" s="1199"/>
      <c r="D279" s="1200"/>
      <c r="E279" s="1200"/>
      <c r="F279" s="1200"/>
      <c r="G279" s="1200"/>
      <c r="H279" s="1200"/>
      <c r="I279" s="1200"/>
      <c r="J279" s="1200"/>
      <c r="K279" s="1200"/>
      <c r="L279" s="1201"/>
      <c r="M279" s="1843"/>
      <c r="N279" s="1846"/>
      <c r="O279" s="1846"/>
      <c r="P279" s="1849"/>
      <c r="Q279" s="1852"/>
      <c r="R279" s="1840"/>
      <c r="S279" s="1840"/>
      <c r="T279" s="1840"/>
      <c r="U279" s="1840"/>
      <c r="V279" s="1837"/>
      <c r="X279" s="1198" t="s">
        <v>383</v>
      </c>
      <c r="Y279" s="1199"/>
      <c r="Z279" s="1200"/>
      <c r="AA279" s="1200"/>
      <c r="AB279" s="1200"/>
      <c r="AC279" s="1200"/>
      <c r="AD279" s="1200"/>
      <c r="AE279" s="1200"/>
      <c r="AF279" s="1200"/>
      <c r="AG279" s="1200"/>
      <c r="AH279" s="1201"/>
      <c r="AI279" s="1843"/>
      <c r="AJ279" s="1846"/>
      <c r="AK279" s="1846"/>
      <c r="AL279" s="1849"/>
      <c r="AM279" s="1852"/>
      <c r="AN279" s="1840"/>
      <c r="AO279" s="1840"/>
      <c r="AP279" s="1840"/>
      <c r="AQ279" s="1840"/>
      <c r="AR279" s="1837"/>
      <c r="AT279" s="1198" t="s">
        <v>383</v>
      </c>
      <c r="AU279" s="1199"/>
      <c r="AV279" s="1200"/>
      <c r="AW279" s="1200"/>
      <c r="AX279" s="1200"/>
      <c r="AY279" s="1200"/>
      <c r="AZ279" s="1200"/>
      <c r="BA279" s="1200"/>
      <c r="BB279" s="1200"/>
      <c r="BC279" s="1200"/>
      <c r="BD279" s="1201"/>
      <c r="BE279" s="1843"/>
      <c r="BF279" s="1846"/>
      <c r="BG279" s="1846"/>
      <c r="BH279" s="1849"/>
      <c r="BI279" s="1852"/>
      <c r="BJ279" s="1840"/>
      <c r="BK279" s="1840"/>
      <c r="BL279" s="1840"/>
      <c r="BM279" s="1840"/>
      <c r="BN279" s="1837"/>
    </row>
    <row r="280" spans="2:66" ht="13.5">
      <c r="B280" s="1202" t="s">
        <v>384</v>
      </c>
      <c r="C280" s="1203"/>
      <c r="D280" s="1204"/>
      <c r="E280" s="1204"/>
      <c r="F280" s="1204"/>
      <c r="G280" s="1204"/>
      <c r="H280" s="1204"/>
      <c r="I280" s="1204"/>
      <c r="J280" s="1204"/>
      <c r="K280" s="1204"/>
      <c r="L280" s="1205"/>
      <c r="M280" s="1843"/>
      <c r="N280" s="1846"/>
      <c r="O280" s="1846"/>
      <c r="P280" s="1849"/>
      <c r="Q280" s="1852"/>
      <c r="R280" s="1840"/>
      <c r="S280" s="1840"/>
      <c r="T280" s="1840"/>
      <c r="U280" s="1840"/>
      <c r="V280" s="1837"/>
      <c r="X280" s="1202" t="s">
        <v>384</v>
      </c>
      <c r="Y280" s="1203"/>
      <c r="Z280" s="1204"/>
      <c r="AA280" s="1204"/>
      <c r="AB280" s="1204"/>
      <c r="AC280" s="1204"/>
      <c r="AD280" s="1204"/>
      <c r="AE280" s="1204"/>
      <c r="AF280" s="1204"/>
      <c r="AG280" s="1204"/>
      <c r="AH280" s="1205"/>
      <c r="AI280" s="1843"/>
      <c r="AJ280" s="1846"/>
      <c r="AK280" s="1846"/>
      <c r="AL280" s="1849"/>
      <c r="AM280" s="1852"/>
      <c r="AN280" s="1840"/>
      <c r="AO280" s="1840"/>
      <c r="AP280" s="1840"/>
      <c r="AQ280" s="1840"/>
      <c r="AR280" s="1837"/>
      <c r="AT280" s="1202" t="s">
        <v>384</v>
      </c>
      <c r="AU280" s="1203"/>
      <c r="AV280" s="1204"/>
      <c r="AW280" s="1204"/>
      <c r="AX280" s="1204"/>
      <c r="AY280" s="1204"/>
      <c r="AZ280" s="1204"/>
      <c r="BA280" s="1204"/>
      <c r="BB280" s="1204"/>
      <c r="BC280" s="1204"/>
      <c r="BD280" s="1205"/>
      <c r="BE280" s="1843"/>
      <c r="BF280" s="1846"/>
      <c r="BG280" s="1846"/>
      <c r="BH280" s="1849"/>
      <c r="BI280" s="1852"/>
      <c r="BJ280" s="1840"/>
      <c r="BK280" s="1840"/>
      <c r="BL280" s="1840"/>
      <c r="BM280" s="1840"/>
      <c r="BN280" s="1837"/>
    </row>
    <row r="281" spans="2:66" ht="13.5">
      <c r="B281" s="1206" t="s">
        <v>385</v>
      </c>
      <c r="C281" s="1207"/>
      <c r="D281" s="1208"/>
      <c r="E281" s="1208"/>
      <c r="F281" s="1208"/>
      <c r="G281" s="1208"/>
      <c r="H281" s="1208"/>
      <c r="I281" s="1208"/>
      <c r="J281" s="1208"/>
      <c r="K281" s="1208"/>
      <c r="L281" s="1209"/>
      <c r="M281" s="1843"/>
      <c r="N281" s="1846"/>
      <c r="O281" s="1846"/>
      <c r="P281" s="1849"/>
      <c r="Q281" s="1852"/>
      <c r="R281" s="1840"/>
      <c r="S281" s="1840"/>
      <c r="T281" s="1840"/>
      <c r="U281" s="1840"/>
      <c r="V281" s="1837"/>
      <c r="X281" s="1206" t="s">
        <v>385</v>
      </c>
      <c r="Y281" s="1207"/>
      <c r="Z281" s="1208"/>
      <c r="AA281" s="1208"/>
      <c r="AB281" s="1208"/>
      <c r="AC281" s="1208"/>
      <c r="AD281" s="1208"/>
      <c r="AE281" s="1208"/>
      <c r="AF281" s="1208"/>
      <c r="AG281" s="1208"/>
      <c r="AH281" s="1209"/>
      <c r="AI281" s="1843"/>
      <c r="AJ281" s="1846"/>
      <c r="AK281" s="1846"/>
      <c r="AL281" s="1849"/>
      <c r="AM281" s="1852"/>
      <c r="AN281" s="1840"/>
      <c r="AO281" s="1840"/>
      <c r="AP281" s="1840"/>
      <c r="AQ281" s="1840"/>
      <c r="AR281" s="1837"/>
      <c r="AT281" s="1206" t="s">
        <v>385</v>
      </c>
      <c r="AU281" s="1207"/>
      <c r="AV281" s="1208"/>
      <c r="AW281" s="1208"/>
      <c r="AX281" s="1208"/>
      <c r="AY281" s="1208"/>
      <c r="AZ281" s="1208"/>
      <c r="BA281" s="1208"/>
      <c r="BB281" s="1208"/>
      <c r="BC281" s="1208"/>
      <c r="BD281" s="1209"/>
      <c r="BE281" s="1843"/>
      <c r="BF281" s="1846"/>
      <c r="BG281" s="1846"/>
      <c r="BH281" s="1849"/>
      <c r="BI281" s="1852"/>
      <c r="BJ281" s="1840"/>
      <c r="BK281" s="1840"/>
      <c r="BL281" s="1840"/>
      <c r="BM281" s="1840"/>
      <c r="BN281" s="1837"/>
    </row>
    <row r="282" spans="2:66" ht="14" thickBot="1">
      <c r="B282" s="1210" t="s">
        <v>388</v>
      </c>
      <c r="C282" s="1221" t="str">
        <f>IF(OR(C279&gt;0,C280&gt;0,C281&gt;0),1,"")</f>
        <v/>
      </c>
      <c r="D282" s="1222" t="str">
        <f>IF(OR(D279&gt;0,D280&gt;0,D281&gt;0),1,"")</f>
        <v/>
      </c>
      <c r="E282" s="1222" t="str">
        <f t="shared" ref="E282:L282" si="141">IF(OR(E279&gt;0,E280&gt;0,E281&gt;0),1,"")</f>
        <v/>
      </c>
      <c r="F282" s="1222" t="str">
        <f t="shared" si="141"/>
        <v/>
      </c>
      <c r="G282" s="1222" t="str">
        <f t="shared" si="141"/>
        <v/>
      </c>
      <c r="H282" s="1222" t="str">
        <f t="shared" si="141"/>
        <v/>
      </c>
      <c r="I282" s="1222" t="str">
        <f t="shared" si="141"/>
        <v/>
      </c>
      <c r="J282" s="1222" t="str">
        <f t="shared" si="141"/>
        <v/>
      </c>
      <c r="K282" s="1222" t="str">
        <f t="shared" si="141"/>
        <v/>
      </c>
      <c r="L282" s="1222" t="str">
        <f t="shared" si="141"/>
        <v/>
      </c>
      <c r="M282" s="1859"/>
      <c r="N282" s="1861"/>
      <c r="O282" s="1861"/>
      <c r="P282" s="1863"/>
      <c r="Q282" s="1855"/>
      <c r="R282" s="1857"/>
      <c r="S282" s="1857"/>
      <c r="T282" s="1857"/>
      <c r="U282" s="1857"/>
      <c r="V282" s="1865"/>
      <c r="X282" s="1210" t="s">
        <v>388</v>
      </c>
      <c r="Y282" s="1221" t="str">
        <f>IF(OR(Y279&gt;0,Y280&gt;0,Y281&gt;0),1,"")</f>
        <v/>
      </c>
      <c r="Z282" s="1222" t="str">
        <f>IF(OR(Z279&gt;0,Z280&gt;0,Z281&gt;0),1,"")</f>
        <v/>
      </c>
      <c r="AA282" s="1222" t="str">
        <f t="shared" ref="AA282:AH282" si="142">IF(OR(AA279&gt;0,AA280&gt;0,AA281&gt;0),1,"")</f>
        <v/>
      </c>
      <c r="AB282" s="1222" t="str">
        <f t="shared" si="142"/>
        <v/>
      </c>
      <c r="AC282" s="1222" t="str">
        <f t="shared" si="142"/>
        <v/>
      </c>
      <c r="AD282" s="1222" t="str">
        <f t="shared" si="142"/>
        <v/>
      </c>
      <c r="AE282" s="1222" t="str">
        <f t="shared" si="142"/>
        <v/>
      </c>
      <c r="AF282" s="1222" t="str">
        <f t="shared" si="142"/>
        <v/>
      </c>
      <c r="AG282" s="1222" t="str">
        <f t="shared" si="142"/>
        <v/>
      </c>
      <c r="AH282" s="1222" t="str">
        <f t="shared" si="142"/>
        <v/>
      </c>
      <c r="AI282" s="1859"/>
      <c r="AJ282" s="1861"/>
      <c r="AK282" s="1861"/>
      <c r="AL282" s="1863"/>
      <c r="AM282" s="1855"/>
      <c r="AN282" s="1857"/>
      <c r="AO282" s="1857"/>
      <c r="AP282" s="1857"/>
      <c r="AQ282" s="1857"/>
      <c r="AR282" s="1865"/>
      <c r="AT282" s="1210" t="s">
        <v>388</v>
      </c>
      <c r="AU282" s="1221" t="str">
        <f>IF(OR(AU279&gt;0,AU280&gt;0,AU281&gt;0),1,"")</f>
        <v/>
      </c>
      <c r="AV282" s="1222" t="str">
        <f>IF(OR(AV279&gt;0,AV280&gt;0,AV281&gt;0),1,"")</f>
        <v/>
      </c>
      <c r="AW282" s="1222" t="str">
        <f t="shared" ref="AW282:BD282" si="143">IF(OR(AW279&gt;0,AW280&gt;0,AW281&gt;0),1,"")</f>
        <v/>
      </c>
      <c r="AX282" s="1222" t="str">
        <f t="shared" si="143"/>
        <v/>
      </c>
      <c r="AY282" s="1222" t="str">
        <f t="shared" si="143"/>
        <v/>
      </c>
      <c r="AZ282" s="1222" t="str">
        <f t="shared" si="143"/>
        <v/>
      </c>
      <c r="BA282" s="1222" t="str">
        <f t="shared" si="143"/>
        <v/>
      </c>
      <c r="BB282" s="1222" t="str">
        <f t="shared" si="143"/>
        <v/>
      </c>
      <c r="BC282" s="1222" t="str">
        <f t="shared" si="143"/>
        <v/>
      </c>
      <c r="BD282" s="1222" t="str">
        <f t="shared" si="143"/>
        <v/>
      </c>
      <c r="BE282" s="1859"/>
      <c r="BF282" s="1861"/>
      <c r="BG282" s="1861"/>
      <c r="BH282" s="1863"/>
      <c r="BI282" s="1855"/>
      <c r="BJ282" s="1857"/>
      <c r="BK282" s="1857"/>
      <c r="BL282" s="1857"/>
      <c r="BM282" s="1857"/>
      <c r="BN282" s="1865"/>
    </row>
    <row r="283" spans="2:66" ht="15" customHeight="1" thickTop="1">
      <c r="B283" s="1194" t="s">
        <v>387</v>
      </c>
      <c r="C283" s="1195"/>
      <c r="D283" s="1196"/>
      <c r="E283" s="1196"/>
      <c r="F283" s="1196"/>
      <c r="G283" s="1196"/>
      <c r="H283" s="1196"/>
      <c r="I283" s="1196"/>
      <c r="J283" s="1196"/>
      <c r="K283" s="1196"/>
      <c r="L283" s="1197"/>
      <c r="M283" s="1858">
        <f>SUM(C283:L283)</f>
        <v>0</v>
      </c>
      <c r="N283" s="1860">
        <f>SUM(C284:L284)</f>
        <v>0</v>
      </c>
      <c r="O283" s="1860">
        <f>SUM(C285:L285)</f>
        <v>0</v>
      </c>
      <c r="P283" s="1862">
        <f>SUM(C286:L286)</f>
        <v>0</v>
      </c>
      <c r="Q283" s="1854" t="str">
        <f>IF(G265="","",SUM(N283:P287))</f>
        <v/>
      </c>
      <c r="R283" s="1856"/>
      <c r="S283" s="1856"/>
      <c r="T283" s="1856"/>
      <c r="U283" s="1856"/>
      <c r="V283" s="1864" t="s">
        <v>395</v>
      </c>
      <c r="X283" s="1194" t="s">
        <v>387</v>
      </c>
      <c r="Y283" s="1195"/>
      <c r="Z283" s="1196"/>
      <c r="AA283" s="1196"/>
      <c r="AB283" s="1196"/>
      <c r="AC283" s="1196"/>
      <c r="AD283" s="1196"/>
      <c r="AE283" s="1196"/>
      <c r="AF283" s="1196"/>
      <c r="AG283" s="1196"/>
      <c r="AH283" s="1197"/>
      <c r="AI283" s="1858">
        <f>SUM(Y283:AH283)</f>
        <v>0</v>
      </c>
      <c r="AJ283" s="1860">
        <f>SUM(Y284:AH284)</f>
        <v>0</v>
      </c>
      <c r="AK283" s="1860">
        <f>SUM(Y285:AH285)</f>
        <v>0</v>
      </c>
      <c r="AL283" s="1862">
        <f>SUM(Y286:AH286)</f>
        <v>0</v>
      </c>
      <c r="AM283" s="1854" t="str">
        <f>IF(AC265="","",SUM(AJ283:AL287))</f>
        <v/>
      </c>
      <c r="AN283" s="1856"/>
      <c r="AO283" s="1856"/>
      <c r="AP283" s="1856"/>
      <c r="AQ283" s="1856"/>
      <c r="AR283" s="1864" t="s">
        <v>395</v>
      </c>
      <c r="AT283" s="1194" t="s">
        <v>387</v>
      </c>
      <c r="AU283" s="1195"/>
      <c r="AV283" s="1196"/>
      <c r="AW283" s="1196"/>
      <c r="AX283" s="1196"/>
      <c r="AY283" s="1196"/>
      <c r="AZ283" s="1196"/>
      <c r="BA283" s="1196"/>
      <c r="BB283" s="1196"/>
      <c r="BC283" s="1196"/>
      <c r="BD283" s="1197"/>
      <c r="BE283" s="1858">
        <f>SUM(AU283:BD283)</f>
        <v>0</v>
      </c>
      <c r="BF283" s="1860">
        <f>SUM(AU284:BD284)</f>
        <v>0</v>
      </c>
      <c r="BG283" s="1860">
        <f>SUM(AU285:BD285)</f>
        <v>0</v>
      </c>
      <c r="BH283" s="1862">
        <f>SUM(AU286:BD286)</f>
        <v>0</v>
      </c>
      <c r="BI283" s="1854" t="str">
        <f>IF(AY265="","",SUM(BF283:BH287))</f>
        <v/>
      </c>
      <c r="BJ283" s="1856"/>
      <c r="BK283" s="1856"/>
      <c r="BL283" s="1856"/>
      <c r="BM283" s="1856"/>
      <c r="BN283" s="1864" t="s">
        <v>395</v>
      </c>
    </row>
    <row r="284" spans="2:66" ht="13.5">
      <c r="B284" s="1198" t="s">
        <v>383</v>
      </c>
      <c r="C284" s="1199"/>
      <c r="D284" s="1200"/>
      <c r="E284" s="1200"/>
      <c r="F284" s="1200"/>
      <c r="G284" s="1200"/>
      <c r="H284" s="1200"/>
      <c r="I284" s="1200"/>
      <c r="J284" s="1200"/>
      <c r="K284" s="1200"/>
      <c r="L284" s="1201"/>
      <c r="M284" s="1843"/>
      <c r="N284" s="1846"/>
      <c r="O284" s="1846"/>
      <c r="P284" s="1849"/>
      <c r="Q284" s="1852"/>
      <c r="R284" s="1840"/>
      <c r="S284" s="1840"/>
      <c r="T284" s="1840"/>
      <c r="U284" s="1840"/>
      <c r="V284" s="1837"/>
      <c r="X284" s="1198" t="s">
        <v>383</v>
      </c>
      <c r="Y284" s="1199"/>
      <c r="Z284" s="1200"/>
      <c r="AA284" s="1200"/>
      <c r="AB284" s="1200"/>
      <c r="AC284" s="1200"/>
      <c r="AD284" s="1200"/>
      <c r="AE284" s="1200"/>
      <c r="AF284" s="1200"/>
      <c r="AG284" s="1200"/>
      <c r="AH284" s="1201"/>
      <c r="AI284" s="1843"/>
      <c r="AJ284" s="1846"/>
      <c r="AK284" s="1846"/>
      <c r="AL284" s="1849"/>
      <c r="AM284" s="1852"/>
      <c r="AN284" s="1840"/>
      <c r="AO284" s="1840"/>
      <c r="AP284" s="1840"/>
      <c r="AQ284" s="1840"/>
      <c r="AR284" s="1837"/>
      <c r="AT284" s="1198" t="s">
        <v>383</v>
      </c>
      <c r="AU284" s="1199"/>
      <c r="AV284" s="1200"/>
      <c r="AW284" s="1200"/>
      <c r="AX284" s="1200"/>
      <c r="AY284" s="1200"/>
      <c r="AZ284" s="1200"/>
      <c r="BA284" s="1200"/>
      <c r="BB284" s="1200"/>
      <c r="BC284" s="1200"/>
      <c r="BD284" s="1201"/>
      <c r="BE284" s="1843"/>
      <c r="BF284" s="1846"/>
      <c r="BG284" s="1846"/>
      <c r="BH284" s="1849"/>
      <c r="BI284" s="1852"/>
      <c r="BJ284" s="1840"/>
      <c r="BK284" s="1840"/>
      <c r="BL284" s="1840"/>
      <c r="BM284" s="1840"/>
      <c r="BN284" s="1837"/>
    </row>
    <row r="285" spans="2:66" ht="13.5">
      <c r="B285" s="1202" t="s">
        <v>384</v>
      </c>
      <c r="C285" s="1203"/>
      <c r="D285" s="1204"/>
      <c r="E285" s="1204"/>
      <c r="F285" s="1204"/>
      <c r="G285" s="1204"/>
      <c r="H285" s="1204"/>
      <c r="I285" s="1204"/>
      <c r="J285" s="1204"/>
      <c r="K285" s="1204"/>
      <c r="L285" s="1205"/>
      <c r="M285" s="1843"/>
      <c r="N285" s="1846"/>
      <c r="O285" s="1846"/>
      <c r="P285" s="1849"/>
      <c r="Q285" s="1852"/>
      <c r="R285" s="1840"/>
      <c r="S285" s="1840"/>
      <c r="T285" s="1840"/>
      <c r="U285" s="1840"/>
      <c r="V285" s="1837"/>
      <c r="X285" s="1202" t="s">
        <v>384</v>
      </c>
      <c r="Y285" s="1203"/>
      <c r="Z285" s="1204"/>
      <c r="AA285" s="1204"/>
      <c r="AB285" s="1204"/>
      <c r="AC285" s="1204"/>
      <c r="AD285" s="1204"/>
      <c r="AE285" s="1204"/>
      <c r="AF285" s="1204"/>
      <c r="AG285" s="1204"/>
      <c r="AH285" s="1205"/>
      <c r="AI285" s="1843"/>
      <c r="AJ285" s="1846"/>
      <c r="AK285" s="1846"/>
      <c r="AL285" s="1849"/>
      <c r="AM285" s="1852"/>
      <c r="AN285" s="1840"/>
      <c r="AO285" s="1840"/>
      <c r="AP285" s="1840"/>
      <c r="AQ285" s="1840"/>
      <c r="AR285" s="1837"/>
      <c r="AT285" s="1202" t="s">
        <v>384</v>
      </c>
      <c r="AU285" s="1203"/>
      <c r="AV285" s="1204"/>
      <c r="AW285" s="1204"/>
      <c r="AX285" s="1204"/>
      <c r="AY285" s="1204"/>
      <c r="AZ285" s="1204"/>
      <c r="BA285" s="1204"/>
      <c r="BB285" s="1204"/>
      <c r="BC285" s="1204"/>
      <c r="BD285" s="1205"/>
      <c r="BE285" s="1843"/>
      <c r="BF285" s="1846"/>
      <c r="BG285" s="1846"/>
      <c r="BH285" s="1849"/>
      <c r="BI285" s="1852"/>
      <c r="BJ285" s="1840"/>
      <c r="BK285" s="1840"/>
      <c r="BL285" s="1840"/>
      <c r="BM285" s="1840"/>
      <c r="BN285" s="1837"/>
    </row>
    <row r="286" spans="2:66" ht="13.5">
      <c r="B286" s="1206" t="s">
        <v>385</v>
      </c>
      <c r="C286" s="1207"/>
      <c r="D286" s="1208"/>
      <c r="E286" s="1208"/>
      <c r="F286" s="1208"/>
      <c r="G286" s="1208"/>
      <c r="H286" s="1208"/>
      <c r="I286" s="1208"/>
      <c r="J286" s="1208"/>
      <c r="K286" s="1208"/>
      <c r="L286" s="1209"/>
      <c r="M286" s="1843"/>
      <c r="N286" s="1846"/>
      <c r="O286" s="1846"/>
      <c r="P286" s="1849"/>
      <c r="Q286" s="1852"/>
      <c r="R286" s="1840"/>
      <c r="S286" s="1840"/>
      <c r="T286" s="1840"/>
      <c r="U286" s="1840"/>
      <c r="V286" s="1837"/>
      <c r="X286" s="1206" t="s">
        <v>385</v>
      </c>
      <c r="Y286" s="1207"/>
      <c r="Z286" s="1208"/>
      <c r="AA286" s="1208"/>
      <c r="AB286" s="1208"/>
      <c r="AC286" s="1208"/>
      <c r="AD286" s="1208"/>
      <c r="AE286" s="1208"/>
      <c r="AF286" s="1208"/>
      <c r="AG286" s="1208"/>
      <c r="AH286" s="1209"/>
      <c r="AI286" s="1843"/>
      <c r="AJ286" s="1846"/>
      <c r="AK286" s="1846"/>
      <c r="AL286" s="1849"/>
      <c r="AM286" s="1852"/>
      <c r="AN286" s="1840"/>
      <c r="AO286" s="1840"/>
      <c r="AP286" s="1840"/>
      <c r="AQ286" s="1840"/>
      <c r="AR286" s="1837"/>
      <c r="AT286" s="1206" t="s">
        <v>385</v>
      </c>
      <c r="AU286" s="1207"/>
      <c r="AV286" s="1208"/>
      <c r="AW286" s="1208"/>
      <c r="AX286" s="1208"/>
      <c r="AY286" s="1208"/>
      <c r="AZ286" s="1208"/>
      <c r="BA286" s="1208"/>
      <c r="BB286" s="1208"/>
      <c r="BC286" s="1208"/>
      <c r="BD286" s="1209"/>
      <c r="BE286" s="1843"/>
      <c r="BF286" s="1846"/>
      <c r="BG286" s="1846"/>
      <c r="BH286" s="1849"/>
      <c r="BI286" s="1852"/>
      <c r="BJ286" s="1840"/>
      <c r="BK286" s="1840"/>
      <c r="BL286" s="1840"/>
      <c r="BM286" s="1840"/>
      <c r="BN286" s="1837"/>
    </row>
    <row r="287" spans="2:66" ht="14" thickBot="1">
      <c r="B287" s="1210" t="s">
        <v>388</v>
      </c>
      <c r="C287" s="1221" t="str">
        <f>IF(OR(C284&gt;0,C285&gt;0,C286&gt;0),1,"")</f>
        <v/>
      </c>
      <c r="D287" s="1222" t="str">
        <f>IF(OR(D284&gt;0,D285&gt;0,D286&gt;0),1,"")</f>
        <v/>
      </c>
      <c r="E287" s="1222" t="str">
        <f t="shared" ref="E287:L287" si="144">IF(OR(E284&gt;0,E285&gt;0,E286&gt;0),1,"")</f>
        <v/>
      </c>
      <c r="F287" s="1222" t="str">
        <f t="shared" si="144"/>
        <v/>
      </c>
      <c r="G287" s="1222" t="str">
        <f t="shared" si="144"/>
        <v/>
      </c>
      <c r="H287" s="1222" t="str">
        <f t="shared" si="144"/>
        <v/>
      </c>
      <c r="I287" s="1222" t="str">
        <f t="shared" si="144"/>
        <v/>
      </c>
      <c r="J287" s="1222" t="str">
        <f t="shared" si="144"/>
        <v/>
      </c>
      <c r="K287" s="1222" t="str">
        <f t="shared" si="144"/>
        <v/>
      </c>
      <c r="L287" s="1222" t="str">
        <f t="shared" si="144"/>
        <v/>
      </c>
      <c r="M287" s="1859"/>
      <c r="N287" s="1861"/>
      <c r="O287" s="1861"/>
      <c r="P287" s="1863"/>
      <c r="Q287" s="1855"/>
      <c r="R287" s="1857"/>
      <c r="S287" s="1857"/>
      <c r="T287" s="1857"/>
      <c r="U287" s="1857"/>
      <c r="V287" s="1865"/>
      <c r="X287" s="1210" t="s">
        <v>388</v>
      </c>
      <c r="Y287" s="1221" t="str">
        <f>IF(OR(Y284&gt;0,Y285&gt;0,Y286&gt;0),1,"")</f>
        <v/>
      </c>
      <c r="Z287" s="1222" t="str">
        <f>IF(OR(Z284&gt;0,Z285&gt;0,Z286&gt;0),1,"")</f>
        <v/>
      </c>
      <c r="AA287" s="1222" t="str">
        <f t="shared" ref="AA287:AH287" si="145">IF(OR(AA284&gt;0,AA285&gt;0,AA286&gt;0),1,"")</f>
        <v/>
      </c>
      <c r="AB287" s="1222" t="str">
        <f t="shared" si="145"/>
        <v/>
      </c>
      <c r="AC287" s="1222" t="str">
        <f t="shared" si="145"/>
        <v/>
      </c>
      <c r="AD287" s="1222" t="str">
        <f t="shared" si="145"/>
        <v/>
      </c>
      <c r="AE287" s="1222" t="str">
        <f t="shared" si="145"/>
        <v/>
      </c>
      <c r="AF287" s="1222" t="str">
        <f t="shared" si="145"/>
        <v/>
      </c>
      <c r="AG287" s="1222" t="str">
        <f t="shared" si="145"/>
        <v/>
      </c>
      <c r="AH287" s="1222" t="str">
        <f t="shared" si="145"/>
        <v/>
      </c>
      <c r="AI287" s="1859"/>
      <c r="AJ287" s="1861"/>
      <c r="AK287" s="1861"/>
      <c r="AL287" s="1863"/>
      <c r="AM287" s="1855"/>
      <c r="AN287" s="1857"/>
      <c r="AO287" s="1857"/>
      <c r="AP287" s="1857"/>
      <c r="AQ287" s="1857"/>
      <c r="AR287" s="1865"/>
      <c r="AT287" s="1210" t="s">
        <v>388</v>
      </c>
      <c r="AU287" s="1221" t="str">
        <f>IF(OR(AU284&gt;0,AU285&gt;0,AU286&gt;0),1,"")</f>
        <v/>
      </c>
      <c r="AV287" s="1222" t="str">
        <f>IF(OR(AV284&gt;0,AV285&gt;0,AV286&gt;0),1,"")</f>
        <v/>
      </c>
      <c r="AW287" s="1222" t="str">
        <f t="shared" ref="AW287:BD287" si="146">IF(OR(AW284&gt;0,AW285&gt;0,AW286&gt;0),1,"")</f>
        <v/>
      </c>
      <c r="AX287" s="1222" t="str">
        <f t="shared" si="146"/>
        <v/>
      </c>
      <c r="AY287" s="1222" t="str">
        <f t="shared" si="146"/>
        <v/>
      </c>
      <c r="AZ287" s="1222" t="str">
        <f t="shared" si="146"/>
        <v/>
      </c>
      <c r="BA287" s="1222" t="str">
        <f t="shared" si="146"/>
        <v/>
      </c>
      <c r="BB287" s="1222" t="str">
        <f t="shared" si="146"/>
        <v/>
      </c>
      <c r="BC287" s="1222" t="str">
        <f t="shared" si="146"/>
        <v/>
      </c>
      <c r="BD287" s="1222" t="str">
        <f t="shared" si="146"/>
        <v/>
      </c>
      <c r="BE287" s="1859"/>
      <c r="BF287" s="1861"/>
      <c r="BG287" s="1861"/>
      <c r="BH287" s="1863"/>
      <c r="BI287" s="1855"/>
      <c r="BJ287" s="1857"/>
      <c r="BK287" s="1857"/>
      <c r="BL287" s="1857"/>
      <c r="BM287" s="1857"/>
      <c r="BN287" s="1865"/>
    </row>
    <row r="288" spans="2:66" ht="15" customHeight="1" thickTop="1">
      <c r="B288" s="1194" t="s">
        <v>387</v>
      </c>
      <c r="C288" s="1195"/>
      <c r="D288" s="1196"/>
      <c r="E288" s="1196"/>
      <c r="F288" s="1196"/>
      <c r="G288" s="1196"/>
      <c r="H288" s="1196"/>
      <c r="I288" s="1196"/>
      <c r="J288" s="1196"/>
      <c r="K288" s="1196"/>
      <c r="L288" s="1197"/>
      <c r="M288" s="1842">
        <f>SUM(C288:L288)</f>
        <v>0</v>
      </c>
      <c r="N288" s="1845">
        <f>SUM(C289:L289)</f>
        <v>0</v>
      </c>
      <c r="O288" s="1845">
        <f>SUM(C290:L290)</f>
        <v>0</v>
      </c>
      <c r="P288" s="1848">
        <f>SUM(C291:L291)</f>
        <v>0</v>
      </c>
      <c r="Q288" s="1851" t="str">
        <f>IF(G265="","",SUM(N288:P292))</f>
        <v/>
      </c>
      <c r="R288" s="1839"/>
      <c r="S288" s="1839"/>
      <c r="T288" s="1839"/>
      <c r="U288" s="1839"/>
      <c r="V288" s="1836" t="s">
        <v>395</v>
      </c>
      <c r="X288" s="1194" t="s">
        <v>387</v>
      </c>
      <c r="Y288" s="1195"/>
      <c r="Z288" s="1196"/>
      <c r="AA288" s="1196"/>
      <c r="AB288" s="1196"/>
      <c r="AC288" s="1196"/>
      <c r="AD288" s="1196"/>
      <c r="AE288" s="1196"/>
      <c r="AF288" s="1196"/>
      <c r="AG288" s="1196"/>
      <c r="AH288" s="1197"/>
      <c r="AI288" s="1842">
        <f>SUM(Y288:AH288)</f>
        <v>0</v>
      </c>
      <c r="AJ288" s="1845">
        <f>SUM(Y289:AH289)</f>
        <v>0</v>
      </c>
      <c r="AK288" s="1845">
        <f>SUM(Y290:AH290)</f>
        <v>0</v>
      </c>
      <c r="AL288" s="1848">
        <f>SUM(Y291:AH291)</f>
        <v>0</v>
      </c>
      <c r="AM288" s="1851" t="str">
        <f>IF(AC265="","",SUM(AJ288:AL292))</f>
        <v/>
      </c>
      <c r="AN288" s="1839"/>
      <c r="AO288" s="1839"/>
      <c r="AP288" s="1839"/>
      <c r="AQ288" s="1839"/>
      <c r="AR288" s="1836" t="s">
        <v>395</v>
      </c>
      <c r="AT288" s="1194" t="s">
        <v>387</v>
      </c>
      <c r="AU288" s="1195"/>
      <c r="AV288" s="1196"/>
      <c r="AW288" s="1196"/>
      <c r="AX288" s="1196"/>
      <c r="AY288" s="1196"/>
      <c r="AZ288" s="1196"/>
      <c r="BA288" s="1196"/>
      <c r="BB288" s="1196"/>
      <c r="BC288" s="1196"/>
      <c r="BD288" s="1197"/>
      <c r="BE288" s="1842">
        <f>SUM(AU288:BD288)</f>
        <v>0</v>
      </c>
      <c r="BF288" s="1845">
        <f>SUM(AU289:BD289)</f>
        <v>0</v>
      </c>
      <c r="BG288" s="1845">
        <f>SUM(AU290:BD290)</f>
        <v>0</v>
      </c>
      <c r="BH288" s="1848">
        <f>SUM(AU291:BD291)</f>
        <v>0</v>
      </c>
      <c r="BI288" s="1851" t="str">
        <f>IF(AY265="","",SUM(BF288:BH292))</f>
        <v/>
      </c>
      <c r="BJ288" s="1839"/>
      <c r="BK288" s="1839"/>
      <c r="BL288" s="1839"/>
      <c r="BM288" s="1839"/>
      <c r="BN288" s="1836" t="s">
        <v>395</v>
      </c>
    </row>
    <row r="289" spans="2:66" ht="13.5">
      <c r="B289" s="1198" t="s">
        <v>383</v>
      </c>
      <c r="C289" s="1199"/>
      <c r="D289" s="1200"/>
      <c r="E289" s="1200"/>
      <c r="F289" s="1200"/>
      <c r="G289" s="1200"/>
      <c r="H289" s="1200"/>
      <c r="I289" s="1200"/>
      <c r="J289" s="1200"/>
      <c r="K289" s="1200"/>
      <c r="L289" s="1201"/>
      <c r="M289" s="1843"/>
      <c r="N289" s="1846"/>
      <c r="O289" s="1846"/>
      <c r="P289" s="1849"/>
      <c r="Q289" s="1852"/>
      <c r="R289" s="1840"/>
      <c r="S289" s="1840"/>
      <c r="T289" s="1840"/>
      <c r="U289" s="1840"/>
      <c r="V289" s="1837"/>
      <c r="X289" s="1198" t="s">
        <v>383</v>
      </c>
      <c r="Y289" s="1199"/>
      <c r="Z289" s="1200"/>
      <c r="AA289" s="1200"/>
      <c r="AB289" s="1200"/>
      <c r="AC289" s="1200"/>
      <c r="AD289" s="1200"/>
      <c r="AE289" s="1200"/>
      <c r="AF289" s="1200"/>
      <c r="AG289" s="1200"/>
      <c r="AH289" s="1201"/>
      <c r="AI289" s="1843"/>
      <c r="AJ289" s="1846"/>
      <c r="AK289" s="1846"/>
      <c r="AL289" s="1849"/>
      <c r="AM289" s="1852"/>
      <c r="AN289" s="1840"/>
      <c r="AO289" s="1840"/>
      <c r="AP289" s="1840"/>
      <c r="AQ289" s="1840"/>
      <c r="AR289" s="1837"/>
      <c r="AT289" s="1198" t="s">
        <v>383</v>
      </c>
      <c r="AU289" s="1199"/>
      <c r="AV289" s="1200"/>
      <c r="AW289" s="1200"/>
      <c r="AX289" s="1200"/>
      <c r="AY289" s="1200"/>
      <c r="AZ289" s="1200"/>
      <c r="BA289" s="1200"/>
      <c r="BB289" s="1200"/>
      <c r="BC289" s="1200"/>
      <c r="BD289" s="1201"/>
      <c r="BE289" s="1843"/>
      <c r="BF289" s="1846"/>
      <c r="BG289" s="1846"/>
      <c r="BH289" s="1849"/>
      <c r="BI289" s="1852"/>
      <c r="BJ289" s="1840"/>
      <c r="BK289" s="1840"/>
      <c r="BL289" s="1840"/>
      <c r="BM289" s="1840"/>
      <c r="BN289" s="1837"/>
    </row>
    <row r="290" spans="2:66" ht="13.5">
      <c r="B290" s="1202" t="s">
        <v>384</v>
      </c>
      <c r="C290" s="1203"/>
      <c r="D290" s="1204"/>
      <c r="E290" s="1204"/>
      <c r="F290" s="1204"/>
      <c r="G290" s="1204"/>
      <c r="H290" s="1204"/>
      <c r="I290" s="1204"/>
      <c r="J290" s="1204"/>
      <c r="K290" s="1204"/>
      <c r="L290" s="1205"/>
      <c r="M290" s="1843"/>
      <c r="N290" s="1846"/>
      <c r="O290" s="1846"/>
      <c r="P290" s="1849"/>
      <c r="Q290" s="1852"/>
      <c r="R290" s="1840"/>
      <c r="S290" s="1840"/>
      <c r="T290" s="1840"/>
      <c r="U290" s="1840"/>
      <c r="V290" s="1837"/>
      <c r="X290" s="1202" t="s">
        <v>384</v>
      </c>
      <c r="Y290" s="1203"/>
      <c r="Z290" s="1204"/>
      <c r="AA290" s="1204"/>
      <c r="AB290" s="1204"/>
      <c r="AC290" s="1204"/>
      <c r="AD290" s="1204"/>
      <c r="AE290" s="1204"/>
      <c r="AF290" s="1204"/>
      <c r="AG290" s="1204"/>
      <c r="AH290" s="1205"/>
      <c r="AI290" s="1843"/>
      <c r="AJ290" s="1846"/>
      <c r="AK290" s="1846"/>
      <c r="AL290" s="1849"/>
      <c r="AM290" s="1852"/>
      <c r="AN290" s="1840"/>
      <c r="AO290" s="1840"/>
      <c r="AP290" s="1840"/>
      <c r="AQ290" s="1840"/>
      <c r="AR290" s="1837"/>
      <c r="AT290" s="1202" t="s">
        <v>384</v>
      </c>
      <c r="AU290" s="1203"/>
      <c r="AV290" s="1204"/>
      <c r="AW290" s="1204"/>
      <c r="AX290" s="1204"/>
      <c r="AY290" s="1204"/>
      <c r="AZ290" s="1204"/>
      <c r="BA290" s="1204"/>
      <c r="BB290" s="1204"/>
      <c r="BC290" s="1204"/>
      <c r="BD290" s="1205"/>
      <c r="BE290" s="1843"/>
      <c r="BF290" s="1846"/>
      <c r="BG290" s="1846"/>
      <c r="BH290" s="1849"/>
      <c r="BI290" s="1852"/>
      <c r="BJ290" s="1840"/>
      <c r="BK290" s="1840"/>
      <c r="BL290" s="1840"/>
      <c r="BM290" s="1840"/>
      <c r="BN290" s="1837"/>
    </row>
    <row r="291" spans="2:66" ht="13.5">
      <c r="B291" s="1206" t="s">
        <v>385</v>
      </c>
      <c r="C291" s="1207"/>
      <c r="D291" s="1208"/>
      <c r="E291" s="1208"/>
      <c r="F291" s="1208"/>
      <c r="G291" s="1208"/>
      <c r="H291" s="1208"/>
      <c r="I291" s="1208"/>
      <c r="J291" s="1208"/>
      <c r="K291" s="1208"/>
      <c r="L291" s="1209"/>
      <c r="M291" s="1843"/>
      <c r="N291" s="1846"/>
      <c r="O291" s="1846"/>
      <c r="P291" s="1849"/>
      <c r="Q291" s="1852"/>
      <c r="R291" s="1840"/>
      <c r="S291" s="1840"/>
      <c r="T291" s="1840"/>
      <c r="U291" s="1840"/>
      <c r="V291" s="1837"/>
      <c r="X291" s="1206" t="s">
        <v>385</v>
      </c>
      <c r="Y291" s="1207"/>
      <c r="Z291" s="1208"/>
      <c r="AA291" s="1208"/>
      <c r="AB291" s="1208"/>
      <c r="AC291" s="1208"/>
      <c r="AD291" s="1208"/>
      <c r="AE291" s="1208"/>
      <c r="AF291" s="1208"/>
      <c r="AG291" s="1208"/>
      <c r="AH291" s="1209"/>
      <c r="AI291" s="1843"/>
      <c r="AJ291" s="1846"/>
      <c r="AK291" s="1846"/>
      <c r="AL291" s="1849"/>
      <c r="AM291" s="1852"/>
      <c r="AN291" s="1840"/>
      <c r="AO291" s="1840"/>
      <c r="AP291" s="1840"/>
      <c r="AQ291" s="1840"/>
      <c r="AR291" s="1837"/>
      <c r="AT291" s="1206" t="s">
        <v>385</v>
      </c>
      <c r="AU291" s="1207"/>
      <c r="AV291" s="1208"/>
      <c r="AW291" s="1208"/>
      <c r="AX291" s="1208"/>
      <c r="AY291" s="1208"/>
      <c r="AZ291" s="1208"/>
      <c r="BA291" s="1208"/>
      <c r="BB291" s="1208"/>
      <c r="BC291" s="1208"/>
      <c r="BD291" s="1209"/>
      <c r="BE291" s="1843"/>
      <c r="BF291" s="1846"/>
      <c r="BG291" s="1846"/>
      <c r="BH291" s="1849"/>
      <c r="BI291" s="1852"/>
      <c r="BJ291" s="1840"/>
      <c r="BK291" s="1840"/>
      <c r="BL291" s="1840"/>
      <c r="BM291" s="1840"/>
      <c r="BN291" s="1837"/>
    </row>
    <row r="292" spans="2:66" ht="13.5">
      <c r="B292" s="1215" t="s">
        <v>388</v>
      </c>
      <c r="C292" s="1223" t="str">
        <f>IF(OR(C289&gt;0,C290&gt;0,C291&gt;0),1,"")</f>
        <v/>
      </c>
      <c r="D292" s="1224" t="str">
        <f>IF(OR(D289&gt;0,D290&gt;0,D291&gt;0),1,"")</f>
        <v/>
      </c>
      <c r="E292" s="1224" t="str">
        <f t="shared" ref="E292:L292" si="147">IF(OR(E289&gt;0,E290&gt;0,E291&gt;0),1,"")</f>
        <v/>
      </c>
      <c r="F292" s="1224" t="str">
        <f t="shared" si="147"/>
        <v/>
      </c>
      <c r="G292" s="1224" t="str">
        <f t="shared" si="147"/>
        <v/>
      </c>
      <c r="H292" s="1224" t="str">
        <f t="shared" si="147"/>
        <v/>
      </c>
      <c r="I292" s="1224" t="str">
        <f t="shared" si="147"/>
        <v/>
      </c>
      <c r="J292" s="1224" t="str">
        <f t="shared" si="147"/>
        <v/>
      </c>
      <c r="K292" s="1224" t="str">
        <f t="shared" si="147"/>
        <v/>
      </c>
      <c r="L292" s="1225" t="str">
        <f t="shared" si="147"/>
        <v/>
      </c>
      <c r="M292" s="1844"/>
      <c r="N292" s="1847"/>
      <c r="O292" s="1847"/>
      <c r="P292" s="1850"/>
      <c r="Q292" s="1853"/>
      <c r="R292" s="1841"/>
      <c r="S292" s="1841"/>
      <c r="T292" s="1841"/>
      <c r="U292" s="1841"/>
      <c r="V292" s="1838"/>
      <c r="X292" s="1215" t="s">
        <v>388</v>
      </c>
      <c r="Y292" s="1223" t="str">
        <f>IF(OR(Y289&gt;0,Y290&gt;0,Y291&gt;0),1,"")</f>
        <v/>
      </c>
      <c r="Z292" s="1224" t="str">
        <f>IF(OR(Z289&gt;0,Z290&gt;0,Z291&gt;0),1,"")</f>
        <v/>
      </c>
      <c r="AA292" s="1224" t="str">
        <f t="shared" ref="AA292:AH292" si="148">IF(OR(AA289&gt;0,AA290&gt;0,AA291&gt;0),1,"")</f>
        <v/>
      </c>
      <c r="AB292" s="1224" t="str">
        <f t="shared" si="148"/>
        <v/>
      </c>
      <c r="AC292" s="1224" t="str">
        <f t="shared" si="148"/>
        <v/>
      </c>
      <c r="AD292" s="1224" t="str">
        <f t="shared" si="148"/>
        <v/>
      </c>
      <c r="AE292" s="1224" t="str">
        <f t="shared" si="148"/>
        <v/>
      </c>
      <c r="AF292" s="1224" t="str">
        <f t="shared" si="148"/>
        <v/>
      </c>
      <c r="AG292" s="1224" t="str">
        <f t="shared" si="148"/>
        <v/>
      </c>
      <c r="AH292" s="1225" t="str">
        <f t="shared" si="148"/>
        <v/>
      </c>
      <c r="AI292" s="1844"/>
      <c r="AJ292" s="1847"/>
      <c r="AK292" s="1847"/>
      <c r="AL292" s="1850"/>
      <c r="AM292" s="1853"/>
      <c r="AN292" s="1841"/>
      <c r="AO292" s="1841"/>
      <c r="AP292" s="1841"/>
      <c r="AQ292" s="1841"/>
      <c r="AR292" s="1838"/>
      <c r="AT292" s="1215" t="s">
        <v>388</v>
      </c>
      <c r="AU292" s="1223" t="str">
        <f>IF(OR(AU289&gt;0,AU290&gt;0,AU291&gt;0),1,"")</f>
        <v/>
      </c>
      <c r="AV292" s="1224" t="str">
        <f>IF(OR(AV289&gt;0,AV290&gt;0,AV291&gt;0),1,"")</f>
        <v/>
      </c>
      <c r="AW292" s="1224" t="str">
        <f t="shared" ref="AW292:BD292" si="149">IF(OR(AW289&gt;0,AW290&gt;0,AW291&gt;0),1,"")</f>
        <v/>
      </c>
      <c r="AX292" s="1224" t="str">
        <f t="shared" si="149"/>
        <v/>
      </c>
      <c r="AY292" s="1224" t="str">
        <f t="shared" si="149"/>
        <v/>
      </c>
      <c r="AZ292" s="1224" t="str">
        <f t="shared" si="149"/>
        <v/>
      </c>
      <c r="BA292" s="1224" t="str">
        <f t="shared" si="149"/>
        <v/>
      </c>
      <c r="BB292" s="1224" t="str">
        <f t="shared" si="149"/>
        <v/>
      </c>
      <c r="BC292" s="1224" t="str">
        <f t="shared" si="149"/>
        <v/>
      </c>
      <c r="BD292" s="1225" t="str">
        <f t="shared" si="149"/>
        <v/>
      </c>
      <c r="BE292" s="1844"/>
      <c r="BF292" s="1847"/>
      <c r="BG292" s="1847"/>
      <c r="BH292" s="1850"/>
      <c r="BI292" s="1853"/>
      <c r="BJ292" s="1841"/>
      <c r="BK292" s="1841"/>
      <c r="BL292" s="1841"/>
      <c r="BM292" s="1841"/>
      <c r="BN292" s="1838"/>
    </row>
    <row r="294" spans="2:66">
      <c r="B294" s="1175"/>
      <c r="C294" s="1176" t="s">
        <v>404</v>
      </c>
      <c r="D294" s="1217" t="s">
        <v>396</v>
      </c>
      <c r="E294" s="1177"/>
      <c r="F294" s="1177" t="s">
        <v>373</v>
      </c>
      <c r="G294" s="1178"/>
      <c r="H294" s="1167"/>
      <c r="I294" s="1167"/>
      <c r="J294" s="1179" t="s">
        <v>374</v>
      </c>
      <c r="K294" s="1165"/>
      <c r="L294" s="1401"/>
      <c r="M294" s="1165"/>
      <c r="N294" s="1165"/>
      <c r="O294" s="1165"/>
      <c r="P294" s="1165"/>
      <c r="Q294" s="1165"/>
      <c r="R294" s="1165"/>
      <c r="S294" s="1165"/>
      <c r="T294" s="1165"/>
      <c r="U294" s="1165"/>
      <c r="V294" s="1165"/>
      <c r="X294" s="1175"/>
      <c r="Y294" s="1176" t="s">
        <v>404</v>
      </c>
      <c r="Z294" s="1217" t="s">
        <v>413</v>
      </c>
      <c r="AA294" s="1177"/>
      <c r="AB294" s="1177" t="s">
        <v>373</v>
      </c>
      <c r="AC294" s="1178"/>
      <c r="AD294" s="1167"/>
      <c r="AE294" s="1167"/>
      <c r="AF294" s="1179" t="s">
        <v>374</v>
      </c>
      <c r="AG294" s="1165"/>
      <c r="AH294" s="1165"/>
      <c r="AI294" s="1165"/>
      <c r="AJ294" s="1165"/>
      <c r="AK294" s="1165"/>
      <c r="AL294" s="1165"/>
      <c r="AM294" s="1165"/>
      <c r="AN294" s="1165"/>
      <c r="AO294" s="1165"/>
      <c r="AP294" s="1165"/>
      <c r="AQ294" s="1165"/>
      <c r="AR294" s="1165"/>
      <c r="AT294" s="1175"/>
      <c r="AU294" s="1176" t="s">
        <v>404</v>
      </c>
      <c r="AV294" s="1217" t="s">
        <v>409</v>
      </c>
      <c r="AW294" s="1177"/>
      <c r="AX294" s="1177" t="s">
        <v>373</v>
      </c>
      <c r="AY294" s="1178"/>
      <c r="AZ294" s="1167"/>
      <c r="BA294" s="1167"/>
      <c r="BB294" s="1179" t="s">
        <v>374</v>
      </c>
      <c r="BC294" s="1165"/>
      <c r="BD294" s="1165"/>
      <c r="BE294" s="1165"/>
      <c r="BF294" s="1165"/>
      <c r="BG294" s="1165"/>
      <c r="BH294" s="1165"/>
      <c r="BI294" s="1165"/>
      <c r="BJ294" s="1165"/>
      <c r="BK294" s="1165"/>
      <c r="BL294" s="1165"/>
      <c r="BM294" s="1165"/>
      <c r="BN294" s="1165"/>
    </row>
    <row r="295" spans="2:66" ht="15.75" customHeight="1">
      <c r="B295" s="1180" t="s">
        <v>375</v>
      </c>
      <c r="C295" s="1181"/>
      <c r="D295" s="1220" t="e">
        <f>IF(J295="",#N/A,SUM(C301:L301,C306:L306,C311:L311,C316:L316,C321:L321))</f>
        <v>#N/A</v>
      </c>
      <c r="E295" s="1183" t="s">
        <v>376</v>
      </c>
      <c r="F295" s="1184" t="s">
        <v>377</v>
      </c>
      <c r="G295" s="1181"/>
      <c r="H295" s="1182" t="s">
        <v>378</v>
      </c>
      <c r="I295" s="1181"/>
      <c r="J295" s="1220" t="str">
        <f>IF(AND(Q297="",Q302="",Q307="",Q312="",Q317=""),"",SUM(Q297:Q320))</f>
        <v/>
      </c>
      <c r="K295" s="1183" t="s">
        <v>379</v>
      </c>
      <c r="L295" s="1185" t="s">
        <v>377</v>
      </c>
      <c r="M295" s="1866" t="s">
        <v>380</v>
      </c>
      <c r="N295" s="1867"/>
      <c r="O295" s="1867"/>
      <c r="P295" s="1867"/>
      <c r="Q295" s="1868"/>
      <c r="R295" s="1869" t="s">
        <v>389</v>
      </c>
      <c r="S295" s="1869" t="s">
        <v>390</v>
      </c>
      <c r="T295" s="1869" t="s">
        <v>391</v>
      </c>
      <c r="U295" s="1869" t="s">
        <v>392</v>
      </c>
      <c r="V295" s="1871" t="s">
        <v>393</v>
      </c>
      <c r="X295" s="1180" t="s">
        <v>375</v>
      </c>
      <c r="Y295" s="1181"/>
      <c r="Z295" s="1220" t="e">
        <f>IF(AF295="",#N/A,SUM(Y301:AH301,Y306:AH306,Y311:AH311,Y316:AH316,Y321:AH321))</f>
        <v>#N/A</v>
      </c>
      <c r="AA295" s="1183" t="s">
        <v>376</v>
      </c>
      <c r="AB295" s="1184" t="s">
        <v>377</v>
      </c>
      <c r="AC295" s="1181"/>
      <c r="AD295" s="1182" t="s">
        <v>378</v>
      </c>
      <c r="AE295" s="1181"/>
      <c r="AF295" s="1220" t="str">
        <f>IF(AND(AM297="",AM302="",AM307="",AM312="",AM317=""),"",SUM(AM297:AM320))</f>
        <v/>
      </c>
      <c r="AG295" s="1183" t="s">
        <v>379</v>
      </c>
      <c r="AH295" s="1185" t="s">
        <v>377</v>
      </c>
      <c r="AI295" s="1866" t="s">
        <v>380</v>
      </c>
      <c r="AJ295" s="1867"/>
      <c r="AK295" s="1867"/>
      <c r="AL295" s="1867"/>
      <c r="AM295" s="1868"/>
      <c r="AN295" s="1869" t="s">
        <v>389</v>
      </c>
      <c r="AO295" s="1869" t="s">
        <v>390</v>
      </c>
      <c r="AP295" s="1869" t="s">
        <v>391</v>
      </c>
      <c r="AQ295" s="1869" t="s">
        <v>392</v>
      </c>
      <c r="AR295" s="1871" t="s">
        <v>393</v>
      </c>
      <c r="AT295" s="1180" t="s">
        <v>375</v>
      </c>
      <c r="AU295" s="1181"/>
      <c r="AV295" s="1220" t="e">
        <f>IF(BB295="",#N/A,SUM(AU301:BD301,AU306:BD306,AU311:BD311,AU316:BD316,AU321:BD321))</f>
        <v>#N/A</v>
      </c>
      <c r="AW295" s="1183" t="s">
        <v>376</v>
      </c>
      <c r="AX295" s="1184" t="s">
        <v>377</v>
      </c>
      <c r="AY295" s="1181"/>
      <c r="AZ295" s="1182" t="s">
        <v>378</v>
      </c>
      <c r="BA295" s="1181"/>
      <c r="BB295" s="1220" t="str">
        <f>IF(AND(BI297="",BI302="",BI307="",BI312="",BI317=""),"",SUM(BI297:BI320))</f>
        <v/>
      </c>
      <c r="BC295" s="1183" t="s">
        <v>379</v>
      </c>
      <c r="BD295" s="1185" t="s">
        <v>377</v>
      </c>
      <c r="BE295" s="1866" t="s">
        <v>380</v>
      </c>
      <c r="BF295" s="1867"/>
      <c r="BG295" s="1867"/>
      <c r="BH295" s="1867"/>
      <c r="BI295" s="1868"/>
      <c r="BJ295" s="1869" t="s">
        <v>389</v>
      </c>
      <c r="BK295" s="1869" t="s">
        <v>390</v>
      </c>
      <c r="BL295" s="1869" t="s">
        <v>391</v>
      </c>
      <c r="BM295" s="1869" t="s">
        <v>392</v>
      </c>
      <c r="BN295" s="1871" t="s">
        <v>393</v>
      </c>
    </row>
    <row r="296" spans="2:66" ht="13.5">
      <c r="B296" s="1186" t="s">
        <v>381</v>
      </c>
      <c r="C296" s="1187">
        <v>1</v>
      </c>
      <c r="D296" s="1218">
        <v>2</v>
      </c>
      <c r="E296" s="1188">
        <v>3</v>
      </c>
      <c r="F296" s="1188">
        <v>4</v>
      </c>
      <c r="G296" s="1188">
        <v>5</v>
      </c>
      <c r="H296" s="1188">
        <v>6</v>
      </c>
      <c r="I296" s="1218">
        <v>7</v>
      </c>
      <c r="J296" s="1218">
        <v>8</v>
      </c>
      <c r="K296" s="1218">
        <v>9</v>
      </c>
      <c r="L296" s="1219">
        <v>10</v>
      </c>
      <c r="M296" s="1189" t="s">
        <v>382</v>
      </c>
      <c r="N296" s="1190" t="s">
        <v>383</v>
      </c>
      <c r="O296" s="1191" t="s">
        <v>384</v>
      </c>
      <c r="P296" s="1192" t="s">
        <v>385</v>
      </c>
      <c r="Q296" s="1193" t="s">
        <v>386</v>
      </c>
      <c r="R296" s="1870"/>
      <c r="S296" s="1870"/>
      <c r="T296" s="1870"/>
      <c r="U296" s="1870"/>
      <c r="V296" s="1872"/>
      <c r="X296" s="1186" t="s">
        <v>381</v>
      </c>
      <c r="Y296" s="1187">
        <v>1</v>
      </c>
      <c r="Z296" s="1218">
        <v>2</v>
      </c>
      <c r="AA296" s="1188">
        <v>3</v>
      </c>
      <c r="AB296" s="1188">
        <v>4</v>
      </c>
      <c r="AC296" s="1188">
        <v>5</v>
      </c>
      <c r="AD296" s="1188">
        <v>6</v>
      </c>
      <c r="AE296" s="1218">
        <v>7</v>
      </c>
      <c r="AF296" s="1218">
        <v>8</v>
      </c>
      <c r="AG296" s="1218">
        <v>9</v>
      </c>
      <c r="AH296" s="1219">
        <v>10</v>
      </c>
      <c r="AI296" s="1189" t="s">
        <v>382</v>
      </c>
      <c r="AJ296" s="1190" t="s">
        <v>383</v>
      </c>
      <c r="AK296" s="1191" t="s">
        <v>384</v>
      </c>
      <c r="AL296" s="1192" t="s">
        <v>385</v>
      </c>
      <c r="AM296" s="1193" t="s">
        <v>386</v>
      </c>
      <c r="AN296" s="1870"/>
      <c r="AO296" s="1870"/>
      <c r="AP296" s="1870"/>
      <c r="AQ296" s="1870"/>
      <c r="AR296" s="1872"/>
      <c r="AT296" s="1186" t="s">
        <v>381</v>
      </c>
      <c r="AU296" s="1187">
        <v>1</v>
      </c>
      <c r="AV296" s="1218">
        <v>2</v>
      </c>
      <c r="AW296" s="1188">
        <v>3</v>
      </c>
      <c r="AX296" s="1188">
        <v>4</v>
      </c>
      <c r="AY296" s="1188">
        <v>5</v>
      </c>
      <c r="AZ296" s="1188">
        <v>6</v>
      </c>
      <c r="BA296" s="1218">
        <v>7</v>
      </c>
      <c r="BB296" s="1218">
        <v>8</v>
      </c>
      <c r="BC296" s="1218">
        <v>9</v>
      </c>
      <c r="BD296" s="1219">
        <v>10</v>
      </c>
      <c r="BE296" s="1189" t="s">
        <v>382</v>
      </c>
      <c r="BF296" s="1190" t="s">
        <v>383</v>
      </c>
      <c r="BG296" s="1191" t="s">
        <v>384</v>
      </c>
      <c r="BH296" s="1192" t="s">
        <v>385</v>
      </c>
      <c r="BI296" s="1193" t="s">
        <v>386</v>
      </c>
      <c r="BJ296" s="1870"/>
      <c r="BK296" s="1870"/>
      <c r="BL296" s="1870"/>
      <c r="BM296" s="1870"/>
      <c r="BN296" s="1872"/>
    </row>
    <row r="297" spans="2:66" ht="14.25" customHeight="1">
      <c r="B297" s="1194" t="s">
        <v>387</v>
      </c>
      <c r="C297" s="1195"/>
      <c r="D297" s="1196"/>
      <c r="E297" s="1196"/>
      <c r="F297" s="1196"/>
      <c r="G297" s="1196"/>
      <c r="H297" s="1196"/>
      <c r="I297" s="1196"/>
      <c r="J297" s="1196"/>
      <c r="K297" s="1196"/>
      <c r="L297" s="1197"/>
      <c r="M297" s="1858">
        <f>SUM(C297:L297)</f>
        <v>0</v>
      </c>
      <c r="N297" s="1860">
        <f>SUM(C298:L298)</f>
        <v>0</v>
      </c>
      <c r="O297" s="1860">
        <f>SUM(C299:L299)</f>
        <v>0</v>
      </c>
      <c r="P297" s="1862">
        <f>SUM(C300:L300)</f>
        <v>0</v>
      </c>
      <c r="Q297" s="1854" t="str">
        <f>IF(G294="","",SUM(N297:P301))</f>
        <v/>
      </c>
      <c r="R297" s="1856"/>
      <c r="S297" s="1856"/>
      <c r="T297" s="1856"/>
      <c r="U297" s="1856"/>
      <c r="V297" s="1864" t="s">
        <v>394</v>
      </c>
      <c r="X297" s="1194" t="s">
        <v>387</v>
      </c>
      <c r="Y297" s="1195"/>
      <c r="Z297" s="1196"/>
      <c r="AA297" s="1196"/>
      <c r="AB297" s="1196"/>
      <c r="AC297" s="1196"/>
      <c r="AD297" s="1196"/>
      <c r="AE297" s="1196"/>
      <c r="AF297" s="1196"/>
      <c r="AG297" s="1196"/>
      <c r="AH297" s="1197"/>
      <c r="AI297" s="1858">
        <f>SUM(Y297:AH297)</f>
        <v>0</v>
      </c>
      <c r="AJ297" s="1860">
        <f>SUM(Y298:AH298)</f>
        <v>0</v>
      </c>
      <c r="AK297" s="1860">
        <f>SUM(Y299:AH299)</f>
        <v>0</v>
      </c>
      <c r="AL297" s="1862">
        <f>SUM(Y300:AH300)</f>
        <v>0</v>
      </c>
      <c r="AM297" s="1854" t="str">
        <f>IF(AC294="","",SUM(AJ297:AL301))</f>
        <v/>
      </c>
      <c r="AN297" s="1856"/>
      <c r="AO297" s="1856"/>
      <c r="AP297" s="1856"/>
      <c r="AQ297" s="1856"/>
      <c r="AR297" s="1864" t="s">
        <v>394</v>
      </c>
      <c r="AT297" s="1194" t="s">
        <v>387</v>
      </c>
      <c r="AU297" s="1195"/>
      <c r="AV297" s="1196"/>
      <c r="AW297" s="1196"/>
      <c r="AX297" s="1196"/>
      <c r="AY297" s="1196"/>
      <c r="AZ297" s="1196"/>
      <c r="BA297" s="1196"/>
      <c r="BB297" s="1196"/>
      <c r="BC297" s="1196"/>
      <c r="BD297" s="1197"/>
      <c r="BE297" s="1858">
        <f>SUM(AU297:BD297)</f>
        <v>0</v>
      </c>
      <c r="BF297" s="1860">
        <f>SUM(AU298:BD298)</f>
        <v>0</v>
      </c>
      <c r="BG297" s="1860">
        <f>SUM(AU299:BD299)</f>
        <v>0</v>
      </c>
      <c r="BH297" s="1862">
        <f>SUM(AU300:BD300)</f>
        <v>0</v>
      </c>
      <c r="BI297" s="1854" t="str">
        <f>IF(AY294="","",SUM(BF297:BH301))</f>
        <v/>
      </c>
      <c r="BJ297" s="1856"/>
      <c r="BK297" s="1856"/>
      <c r="BL297" s="1856"/>
      <c r="BM297" s="1856"/>
      <c r="BN297" s="1864" t="s">
        <v>394</v>
      </c>
    </row>
    <row r="298" spans="2:66" ht="13.5">
      <c r="B298" s="1198" t="s">
        <v>383</v>
      </c>
      <c r="C298" s="1199"/>
      <c r="D298" s="1200"/>
      <c r="E298" s="1200"/>
      <c r="F298" s="1200"/>
      <c r="G298" s="1200"/>
      <c r="H298" s="1200"/>
      <c r="I298" s="1200"/>
      <c r="J298" s="1200"/>
      <c r="K298" s="1200"/>
      <c r="L298" s="1201"/>
      <c r="M298" s="1843"/>
      <c r="N298" s="1846"/>
      <c r="O298" s="1846"/>
      <c r="P298" s="1849"/>
      <c r="Q298" s="1852"/>
      <c r="R298" s="1840"/>
      <c r="S298" s="1840"/>
      <c r="T298" s="1840"/>
      <c r="U298" s="1840"/>
      <c r="V298" s="1837"/>
      <c r="X298" s="1198" t="s">
        <v>383</v>
      </c>
      <c r="Y298" s="1199"/>
      <c r="Z298" s="1200"/>
      <c r="AA298" s="1200"/>
      <c r="AB298" s="1200"/>
      <c r="AC298" s="1200"/>
      <c r="AD298" s="1200"/>
      <c r="AE298" s="1200"/>
      <c r="AF298" s="1200"/>
      <c r="AG298" s="1200"/>
      <c r="AH298" s="1201"/>
      <c r="AI298" s="1843"/>
      <c r="AJ298" s="1846"/>
      <c r="AK298" s="1846"/>
      <c r="AL298" s="1849"/>
      <c r="AM298" s="1852"/>
      <c r="AN298" s="1840"/>
      <c r="AO298" s="1840"/>
      <c r="AP298" s="1840"/>
      <c r="AQ298" s="1840"/>
      <c r="AR298" s="1837"/>
      <c r="AT298" s="1198" t="s">
        <v>383</v>
      </c>
      <c r="AU298" s="1199"/>
      <c r="AV298" s="1200"/>
      <c r="AW298" s="1200"/>
      <c r="AX298" s="1200"/>
      <c r="AY298" s="1200"/>
      <c r="AZ298" s="1200"/>
      <c r="BA298" s="1200"/>
      <c r="BB298" s="1200"/>
      <c r="BC298" s="1200"/>
      <c r="BD298" s="1201"/>
      <c r="BE298" s="1843"/>
      <c r="BF298" s="1846"/>
      <c r="BG298" s="1846"/>
      <c r="BH298" s="1849"/>
      <c r="BI298" s="1852"/>
      <c r="BJ298" s="1840"/>
      <c r="BK298" s="1840"/>
      <c r="BL298" s="1840"/>
      <c r="BM298" s="1840"/>
      <c r="BN298" s="1837"/>
    </row>
    <row r="299" spans="2:66" ht="13.5">
      <c r="B299" s="1202" t="s">
        <v>384</v>
      </c>
      <c r="C299" s="1203"/>
      <c r="D299" s="1204"/>
      <c r="E299" s="1204"/>
      <c r="F299" s="1204"/>
      <c r="G299" s="1204"/>
      <c r="H299" s="1204"/>
      <c r="I299" s="1204"/>
      <c r="J299" s="1204"/>
      <c r="K299" s="1204"/>
      <c r="L299" s="1205"/>
      <c r="M299" s="1843"/>
      <c r="N299" s="1846"/>
      <c r="O299" s="1846"/>
      <c r="P299" s="1849"/>
      <c r="Q299" s="1852"/>
      <c r="R299" s="1840"/>
      <c r="S299" s="1840"/>
      <c r="T299" s="1840"/>
      <c r="U299" s="1840"/>
      <c r="V299" s="1837"/>
      <c r="X299" s="1202" t="s">
        <v>384</v>
      </c>
      <c r="Y299" s="1203"/>
      <c r="Z299" s="1204"/>
      <c r="AA299" s="1204"/>
      <c r="AB299" s="1204"/>
      <c r="AC299" s="1204"/>
      <c r="AD299" s="1204"/>
      <c r="AE299" s="1204"/>
      <c r="AF299" s="1204"/>
      <c r="AG299" s="1204"/>
      <c r="AH299" s="1205"/>
      <c r="AI299" s="1843"/>
      <c r="AJ299" s="1846"/>
      <c r="AK299" s="1846"/>
      <c r="AL299" s="1849"/>
      <c r="AM299" s="1852"/>
      <c r="AN299" s="1840"/>
      <c r="AO299" s="1840"/>
      <c r="AP299" s="1840"/>
      <c r="AQ299" s="1840"/>
      <c r="AR299" s="1837"/>
      <c r="AT299" s="1202" t="s">
        <v>384</v>
      </c>
      <c r="AU299" s="1203"/>
      <c r="AV299" s="1204"/>
      <c r="AW299" s="1204"/>
      <c r="AX299" s="1204"/>
      <c r="AY299" s="1204"/>
      <c r="AZ299" s="1204"/>
      <c r="BA299" s="1204"/>
      <c r="BB299" s="1204"/>
      <c r="BC299" s="1204"/>
      <c r="BD299" s="1205"/>
      <c r="BE299" s="1843"/>
      <c r="BF299" s="1846"/>
      <c r="BG299" s="1846"/>
      <c r="BH299" s="1849"/>
      <c r="BI299" s="1852"/>
      <c r="BJ299" s="1840"/>
      <c r="BK299" s="1840"/>
      <c r="BL299" s="1840"/>
      <c r="BM299" s="1840"/>
      <c r="BN299" s="1837"/>
    </row>
    <row r="300" spans="2:66" ht="13.5">
      <c r="B300" s="1206" t="s">
        <v>385</v>
      </c>
      <c r="C300" s="1207"/>
      <c r="D300" s="1208"/>
      <c r="E300" s="1208"/>
      <c r="F300" s="1208"/>
      <c r="G300" s="1208"/>
      <c r="H300" s="1208"/>
      <c r="I300" s="1208"/>
      <c r="J300" s="1208"/>
      <c r="K300" s="1208"/>
      <c r="L300" s="1209"/>
      <c r="M300" s="1843"/>
      <c r="N300" s="1846"/>
      <c r="O300" s="1846"/>
      <c r="P300" s="1849"/>
      <c r="Q300" s="1852"/>
      <c r="R300" s="1840"/>
      <c r="S300" s="1840"/>
      <c r="T300" s="1840"/>
      <c r="U300" s="1840"/>
      <c r="V300" s="1837"/>
      <c r="X300" s="1206" t="s">
        <v>385</v>
      </c>
      <c r="Y300" s="1207"/>
      <c r="Z300" s="1208"/>
      <c r="AA300" s="1208"/>
      <c r="AB300" s="1208"/>
      <c r="AC300" s="1208"/>
      <c r="AD300" s="1208"/>
      <c r="AE300" s="1208"/>
      <c r="AF300" s="1208"/>
      <c r="AG300" s="1208"/>
      <c r="AH300" s="1209"/>
      <c r="AI300" s="1843"/>
      <c r="AJ300" s="1846"/>
      <c r="AK300" s="1846"/>
      <c r="AL300" s="1849"/>
      <c r="AM300" s="1852"/>
      <c r="AN300" s="1840"/>
      <c r="AO300" s="1840"/>
      <c r="AP300" s="1840"/>
      <c r="AQ300" s="1840"/>
      <c r="AR300" s="1837"/>
      <c r="AT300" s="1206" t="s">
        <v>385</v>
      </c>
      <c r="AU300" s="1207"/>
      <c r="AV300" s="1208"/>
      <c r="AW300" s="1208"/>
      <c r="AX300" s="1208"/>
      <c r="AY300" s="1208"/>
      <c r="AZ300" s="1208"/>
      <c r="BA300" s="1208"/>
      <c r="BB300" s="1208"/>
      <c r="BC300" s="1208"/>
      <c r="BD300" s="1209"/>
      <c r="BE300" s="1843"/>
      <c r="BF300" s="1846"/>
      <c r="BG300" s="1846"/>
      <c r="BH300" s="1849"/>
      <c r="BI300" s="1852"/>
      <c r="BJ300" s="1840"/>
      <c r="BK300" s="1840"/>
      <c r="BL300" s="1840"/>
      <c r="BM300" s="1840"/>
      <c r="BN300" s="1837"/>
    </row>
    <row r="301" spans="2:66" ht="14" thickBot="1">
      <c r="B301" s="1210" t="s">
        <v>388</v>
      </c>
      <c r="C301" s="1221" t="str">
        <f>IF(OR(C298&gt;0,C299&gt;0,C300&gt;0),1,"")</f>
        <v/>
      </c>
      <c r="D301" s="1222" t="str">
        <f>IF(OR(D298&gt;0,D299&gt;0,D300&gt;0),1,"")</f>
        <v/>
      </c>
      <c r="E301" s="1222" t="str">
        <f t="shared" ref="E301:L301" si="150">IF(OR(E298&gt;0,E299&gt;0,E300&gt;0),1,"")</f>
        <v/>
      </c>
      <c r="F301" s="1222" t="str">
        <f t="shared" si="150"/>
        <v/>
      </c>
      <c r="G301" s="1222" t="str">
        <f t="shared" si="150"/>
        <v/>
      </c>
      <c r="H301" s="1222" t="str">
        <f t="shared" si="150"/>
        <v/>
      </c>
      <c r="I301" s="1222" t="str">
        <f t="shared" si="150"/>
        <v/>
      </c>
      <c r="J301" s="1222" t="str">
        <f t="shared" si="150"/>
        <v/>
      </c>
      <c r="K301" s="1222" t="str">
        <f t="shared" si="150"/>
        <v/>
      </c>
      <c r="L301" s="1222" t="str">
        <f t="shared" si="150"/>
        <v/>
      </c>
      <c r="M301" s="1859"/>
      <c r="N301" s="1861"/>
      <c r="O301" s="1861"/>
      <c r="P301" s="1863"/>
      <c r="Q301" s="1855"/>
      <c r="R301" s="1857"/>
      <c r="S301" s="1857"/>
      <c r="T301" s="1857"/>
      <c r="U301" s="1857"/>
      <c r="V301" s="1865"/>
      <c r="X301" s="1210" t="s">
        <v>388</v>
      </c>
      <c r="Y301" s="1221" t="str">
        <f>IF(OR(Y298&gt;0,Y299&gt;0,Y300&gt;0),1,"")</f>
        <v/>
      </c>
      <c r="Z301" s="1222" t="str">
        <f>IF(OR(Z298&gt;0,Z299&gt;0,Z300&gt;0),1,"")</f>
        <v/>
      </c>
      <c r="AA301" s="1222" t="str">
        <f t="shared" ref="AA301:AH301" si="151">IF(OR(AA298&gt;0,AA299&gt;0,AA300&gt;0),1,"")</f>
        <v/>
      </c>
      <c r="AB301" s="1222" t="str">
        <f t="shared" si="151"/>
        <v/>
      </c>
      <c r="AC301" s="1222" t="str">
        <f t="shared" si="151"/>
        <v/>
      </c>
      <c r="AD301" s="1222" t="str">
        <f t="shared" si="151"/>
        <v/>
      </c>
      <c r="AE301" s="1222" t="str">
        <f t="shared" si="151"/>
        <v/>
      </c>
      <c r="AF301" s="1222" t="str">
        <f t="shared" si="151"/>
        <v/>
      </c>
      <c r="AG301" s="1222" t="str">
        <f t="shared" si="151"/>
        <v/>
      </c>
      <c r="AH301" s="1222" t="str">
        <f t="shared" si="151"/>
        <v/>
      </c>
      <c r="AI301" s="1859"/>
      <c r="AJ301" s="1861"/>
      <c r="AK301" s="1861"/>
      <c r="AL301" s="1863"/>
      <c r="AM301" s="1855"/>
      <c r="AN301" s="1857"/>
      <c r="AO301" s="1857"/>
      <c r="AP301" s="1857"/>
      <c r="AQ301" s="1857"/>
      <c r="AR301" s="1865"/>
      <c r="AT301" s="1210" t="s">
        <v>388</v>
      </c>
      <c r="AU301" s="1221" t="str">
        <f>IF(OR(AU298&gt;0,AU299&gt;0,AU300&gt;0),1,"")</f>
        <v/>
      </c>
      <c r="AV301" s="1222" t="str">
        <f>IF(OR(AV298&gt;0,AV299&gt;0,AV300&gt;0),1,"")</f>
        <v/>
      </c>
      <c r="AW301" s="1222" t="str">
        <f t="shared" ref="AW301:BD301" si="152">IF(OR(AW298&gt;0,AW299&gt;0,AW300&gt;0),1,"")</f>
        <v/>
      </c>
      <c r="AX301" s="1222" t="str">
        <f t="shared" si="152"/>
        <v/>
      </c>
      <c r="AY301" s="1222" t="str">
        <f t="shared" si="152"/>
        <v/>
      </c>
      <c r="AZ301" s="1222" t="str">
        <f t="shared" si="152"/>
        <v/>
      </c>
      <c r="BA301" s="1222" t="str">
        <f t="shared" si="152"/>
        <v/>
      </c>
      <c r="BB301" s="1222" t="str">
        <f t="shared" si="152"/>
        <v/>
      </c>
      <c r="BC301" s="1222" t="str">
        <f t="shared" si="152"/>
        <v/>
      </c>
      <c r="BD301" s="1222" t="str">
        <f t="shared" si="152"/>
        <v/>
      </c>
      <c r="BE301" s="1859"/>
      <c r="BF301" s="1861"/>
      <c r="BG301" s="1861"/>
      <c r="BH301" s="1863"/>
      <c r="BI301" s="1855"/>
      <c r="BJ301" s="1857"/>
      <c r="BK301" s="1857"/>
      <c r="BL301" s="1857"/>
      <c r="BM301" s="1857"/>
      <c r="BN301" s="1865"/>
    </row>
    <row r="302" spans="2:66" ht="15" customHeight="1" thickTop="1">
      <c r="B302" s="1211" t="s">
        <v>387</v>
      </c>
      <c r="C302" s="1212"/>
      <c r="D302" s="1213"/>
      <c r="E302" s="1213"/>
      <c r="F302" s="1213"/>
      <c r="G302" s="1213"/>
      <c r="H302" s="1213"/>
      <c r="I302" s="1213"/>
      <c r="J302" s="1213"/>
      <c r="K302" s="1213"/>
      <c r="L302" s="1214"/>
      <c r="M302" s="1858">
        <f>SUM(C302:L302)</f>
        <v>0</v>
      </c>
      <c r="N302" s="1860">
        <f>SUM(C303:L303)</f>
        <v>0</v>
      </c>
      <c r="O302" s="1860">
        <f>SUM(C304:L304)</f>
        <v>0</v>
      </c>
      <c r="P302" s="1862">
        <f>SUM(C305:L305)</f>
        <v>0</v>
      </c>
      <c r="Q302" s="1854" t="str">
        <f>IF(G294="","",SUM(N302:P306))</f>
        <v/>
      </c>
      <c r="R302" s="1856"/>
      <c r="S302" s="1856"/>
      <c r="T302" s="1856"/>
      <c r="U302" s="1856"/>
      <c r="V302" s="1864" t="s">
        <v>395</v>
      </c>
      <c r="X302" s="1211" t="s">
        <v>387</v>
      </c>
      <c r="Y302" s="1212"/>
      <c r="Z302" s="1213"/>
      <c r="AA302" s="1213"/>
      <c r="AB302" s="1213"/>
      <c r="AC302" s="1213"/>
      <c r="AD302" s="1213"/>
      <c r="AE302" s="1213"/>
      <c r="AF302" s="1213"/>
      <c r="AG302" s="1213"/>
      <c r="AH302" s="1214"/>
      <c r="AI302" s="1858">
        <f>SUM(Y302:AH302)</f>
        <v>0</v>
      </c>
      <c r="AJ302" s="1860">
        <f>SUM(Y303:AH303)</f>
        <v>0</v>
      </c>
      <c r="AK302" s="1860">
        <f>SUM(Y304:AH304)</f>
        <v>0</v>
      </c>
      <c r="AL302" s="1862">
        <f>SUM(Y305:AH305)</f>
        <v>0</v>
      </c>
      <c r="AM302" s="1854" t="str">
        <f>IF(AC294="","",SUM(AJ302:AL306))</f>
        <v/>
      </c>
      <c r="AN302" s="1856"/>
      <c r="AO302" s="1856"/>
      <c r="AP302" s="1856"/>
      <c r="AQ302" s="1856"/>
      <c r="AR302" s="1864" t="s">
        <v>395</v>
      </c>
      <c r="AT302" s="1211" t="s">
        <v>387</v>
      </c>
      <c r="AU302" s="1212"/>
      <c r="AV302" s="1213"/>
      <c r="AW302" s="1213"/>
      <c r="AX302" s="1213"/>
      <c r="AY302" s="1213"/>
      <c r="AZ302" s="1213"/>
      <c r="BA302" s="1213"/>
      <c r="BB302" s="1213"/>
      <c r="BC302" s="1213"/>
      <c r="BD302" s="1214"/>
      <c r="BE302" s="1858">
        <f>SUM(AU302:BD302)</f>
        <v>0</v>
      </c>
      <c r="BF302" s="1860">
        <f>SUM(AU303:BD303)</f>
        <v>0</v>
      </c>
      <c r="BG302" s="1860">
        <f>SUM(AU304:BD304)</f>
        <v>0</v>
      </c>
      <c r="BH302" s="1862">
        <f>SUM(AU305:BD305)</f>
        <v>0</v>
      </c>
      <c r="BI302" s="1854" t="str">
        <f>IF(AY294="","",SUM(BF302:BH306))</f>
        <v/>
      </c>
      <c r="BJ302" s="1856"/>
      <c r="BK302" s="1856"/>
      <c r="BL302" s="1856"/>
      <c r="BM302" s="1856"/>
      <c r="BN302" s="1864" t="s">
        <v>395</v>
      </c>
    </row>
    <row r="303" spans="2:66" ht="13.5">
      <c r="B303" s="1198" t="s">
        <v>383</v>
      </c>
      <c r="C303" s="1199"/>
      <c r="D303" s="1200"/>
      <c r="E303" s="1200"/>
      <c r="F303" s="1200"/>
      <c r="G303" s="1200"/>
      <c r="H303" s="1200"/>
      <c r="I303" s="1200"/>
      <c r="J303" s="1200"/>
      <c r="K303" s="1200"/>
      <c r="L303" s="1201"/>
      <c r="M303" s="1843"/>
      <c r="N303" s="1846"/>
      <c r="O303" s="1846"/>
      <c r="P303" s="1849"/>
      <c r="Q303" s="1852"/>
      <c r="R303" s="1840"/>
      <c r="S303" s="1840"/>
      <c r="T303" s="1840"/>
      <c r="U303" s="1840"/>
      <c r="V303" s="1837"/>
      <c r="X303" s="1198" t="s">
        <v>383</v>
      </c>
      <c r="Y303" s="1199"/>
      <c r="Z303" s="1200"/>
      <c r="AA303" s="1200"/>
      <c r="AB303" s="1200"/>
      <c r="AC303" s="1200"/>
      <c r="AD303" s="1200"/>
      <c r="AE303" s="1200"/>
      <c r="AF303" s="1200"/>
      <c r="AG303" s="1200"/>
      <c r="AH303" s="1201"/>
      <c r="AI303" s="1843"/>
      <c r="AJ303" s="1846"/>
      <c r="AK303" s="1846"/>
      <c r="AL303" s="1849"/>
      <c r="AM303" s="1852"/>
      <c r="AN303" s="1840"/>
      <c r="AO303" s="1840"/>
      <c r="AP303" s="1840"/>
      <c r="AQ303" s="1840"/>
      <c r="AR303" s="1837"/>
      <c r="AT303" s="1198" t="s">
        <v>383</v>
      </c>
      <c r="AU303" s="1199"/>
      <c r="AV303" s="1200"/>
      <c r="AW303" s="1200"/>
      <c r="AX303" s="1200"/>
      <c r="AY303" s="1200"/>
      <c r="AZ303" s="1200"/>
      <c r="BA303" s="1200"/>
      <c r="BB303" s="1200"/>
      <c r="BC303" s="1200"/>
      <c r="BD303" s="1201"/>
      <c r="BE303" s="1843"/>
      <c r="BF303" s="1846"/>
      <c r="BG303" s="1846"/>
      <c r="BH303" s="1849"/>
      <c r="BI303" s="1852"/>
      <c r="BJ303" s="1840"/>
      <c r="BK303" s="1840"/>
      <c r="BL303" s="1840"/>
      <c r="BM303" s="1840"/>
      <c r="BN303" s="1837"/>
    </row>
    <row r="304" spans="2:66" ht="13.5">
      <c r="B304" s="1202" t="s">
        <v>384</v>
      </c>
      <c r="C304" s="1203"/>
      <c r="D304" s="1204"/>
      <c r="E304" s="1204"/>
      <c r="F304" s="1204"/>
      <c r="G304" s="1204"/>
      <c r="H304" s="1204"/>
      <c r="I304" s="1204"/>
      <c r="J304" s="1204"/>
      <c r="K304" s="1204"/>
      <c r="L304" s="1205"/>
      <c r="M304" s="1843"/>
      <c r="N304" s="1846"/>
      <c r="O304" s="1846"/>
      <c r="P304" s="1849"/>
      <c r="Q304" s="1852"/>
      <c r="R304" s="1840"/>
      <c r="S304" s="1840"/>
      <c r="T304" s="1840"/>
      <c r="U304" s="1840"/>
      <c r="V304" s="1837"/>
      <c r="X304" s="1202" t="s">
        <v>384</v>
      </c>
      <c r="Y304" s="1203"/>
      <c r="Z304" s="1204"/>
      <c r="AA304" s="1204"/>
      <c r="AB304" s="1204"/>
      <c r="AC304" s="1204"/>
      <c r="AD304" s="1204"/>
      <c r="AE304" s="1204"/>
      <c r="AF304" s="1204"/>
      <c r="AG304" s="1204"/>
      <c r="AH304" s="1205"/>
      <c r="AI304" s="1843"/>
      <c r="AJ304" s="1846"/>
      <c r="AK304" s="1846"/>
      <c r="AL304" s="1849"/>
      <c r="AM304" s="1852"/>
      <c r="AN304" s="1840"/>
      <c r="AO304" s="1840"/>
      <c r="AP304" s="1840"/>
      <c r="AQ304" s="1840"/>
      <c r="AR304" s="1837"/>
      <c r="AT304" s="1202" t="s">
        <v>384</v>
      </c>
      <c r="AU304" s="1203"/>
      <c r="AV304" s="1204"/>
      <c r="AW304" s="1204"/>
      <c r="AX304" s="1204"/>
      <c r="AY304" s="1204"/>
      <c r="AZ304" s="1204"/>
      <c r="BA304" s="1204"/>
      <c r="BB304" s="1204"/>
      <c r="BC304" s="1204"/>
      <c r="BD304" s="1205"/>
      <c r="BE304" s="1843"/>
      <c r="BF304" s="1846"/>
      <c r="BG304" s="1846"/>
      <c r="BH304" s="1849"/>
      <c r="BI304" s="1852"/>
      <c r="BJ304" s="1840"/>
      <c r="BK304" s="1840"/>
      <c r="BL304" s="1840"/>
      <c r="BM304" s="1840"/>
      <c r="BN304" s="1837"/>
    </row>
    <row r="305" spans="2:66" ht="13.5">
      <c r="B305" s="1202" t="s">
        <v>385</v>
      </c>
      <c r="C305" s="1203"/>
      <c r="D305" s="1204"/>
      <c r="E305" s="1204"/>
      <c r="F305" s="1204"/>
      <c r="G305" s="1204"/>
      <c r="H305" s="1204"/>
      <c r="I305" s="1204"/>
      <c r="J305" s="1204"/>
      <c r="K305" s="1204"/>
      <c r="L305" s="1205"/>
      <c r="M305" s="1843"/>
      <c r="N305" s="1846"/>
      <c r="O305" s="1846"/>
      <c r="P305" s="1849"/>
      <c r="Q305" s="1852"/>
      <c r="R305" s="1840"/>
      <c r="S305" s="1840"/>
      <c r="T305" s="1840"/>
      <c r="U305" s="1840"/>
      <c r="V305" s="1837"/>
      <c r="X305" s="1202" t="s">
        <v>385</v>
      </c>
      <c r="Y305" s="1203"/>
      <c r="Z305" s="1204"/>
      <c r="AA305" s="1204"/>
      <c r="AB305" s="1204"/>
      <c r="AC305" s="1204"/>
      <c r="AD305" s="1204"/>
      <c r="AE305" s="1204"/>
      <c r="AF305" s="1204"/>
      <c r="AG305" s="1204"/>
      <c r="AH305" s="1205"/>
      <c r="AI305" s="1843"/>
      <c r="AJ305" s="1846"/>
      <c r="AK305" s="1846"/>
      <c r="AL305" s="1849"/>
      <c r="AM305" s="1852"/>
      <c r="AN305" s="1840"/>
      <c r="AO305" s="1840"/>
      <c r="AP305" s="1840"/>
      <c r="AQ305" s="1840"/>
      <c r="AR305" s="1837"/>
      <c r="AT305" s="1202" t="s">
        <v>385</v>
      </c>
      <c r="AU305" s="1203"/>
      <c r="AV305" s="1204"/>
      <c r="AW305" s="1204"/>
      <c r="AX305" s="1204"/>
      <c r="AY305" s="1204"/>
      <c r="AZ305" s="1204"/>
      <c r="BA305" s="1204"/>
      <c r="BB305" s="1204"/>
      <c r="BC305" s="1204"/>
      <c r="BD305" s="1205"/>
      <c r="BE305" s="1843"/>
      <c r="BF305" s="1846"/>
      <c r="BG305" s="1846"/>
      <c r="BH305" s="1849"/>
      <c r="BI305" s="1852"/>
      <c r="BJ305" s="1840"/>
      <c r="BK305" s="1840"/>
      <c r="BL305" s="1840"/>
      <c r="BM305" s="1840"/>
      <c r="BN305" s="1837"/>
    </row>
    <row r="306" spans="2:66" ht="14" thickBot="1">
      <c r="B306" s="1210" t="s">
        <v>388</v>
      </c>
      <c r="C306" s="1221" t="str">
        <f>IF(OR(C303&gt;0,C304&gt;0,C305&gt;0),1,"")</f>
        <v/>
      </c>
      <c r="D306" s="1222" t="str">
        <f>IF(OR(D303&gt;0,D304&gt;0,D305&gt;0),1,"")</f>
        <v/>
      </c>
      <c r="E306" s="1222" t="str">
        <f t="shared" ref="E306:L306" si="153">IF(OR(E303&gt;0,E304&gt;0,E305&gt;0),1,"")</f>
        <v/>
      </c>
      <c r="F306" s="1222" t="str">
        <f t="shared" si="153"/>
        <v/>
      </c>
      <c r="G306" s="1222" t="str">
        <f t="shared" si="153"/>
        <v/>
      </c>
      <c r="H306" s="1222" t="str">
        <f t="shared" si="153"/>
        <v/>
      </c>
      <c r="I306" s="1222" t="str">
        <f t="shared" si="153"/>
        <v/>
      </c>
      <c r="J306" s="1222" t="str">
        <f t="shared" si="153"/>
        <v/>
      </c>
      <c r="K306" s="1222" t="str">
        <f t="shared" si="153"/>
        <v/>
      </c>
      <c r="L306" s="1222" t="str">
        <f t="shared" si="153"/>
        <v/>
      </c>
      <c r="M306" s="1859"/>
      <c r="N306" s="1861"/>
      <c r="O306" s="1861"/>
      <c r="P306" s="1863"/>
      <c r="Q306" s="1855"/>
      <c r="R306" s="1857"/>
      <c r="S306" s="1857"/>
      <c r="T306" s="1857"/>
      <c r="U306" s="1857"/>
      <c r="V306" s="1865"/>
      <c r="X306" s="1210" t="s">
        <v>388</v>
      </c>
      <c r="Y306" s="1221" t="str">
        <f>IF(OR(Y303&gt;0,Y304&gt;0,Y305&gt;0),1,"")</f>
        <v/>
      </c>
      <c r="Z306" s="1222" t="str">
        <f>IF(OR(Z303&gt;0,Z304&gt;0,Z305&gt;0),1,"")</f>
        <v/>
      </c>
      <c r="AA306" s="1222" t="str">
        <f t="shared" ref="AA306:AH306" si="154">IF(OR(AA303&gt;0,AA304&gt;0,AA305&gt;0),1,"")</f>
        <v/>
      </c>
      <c r="AB306" s="1222" t="str">
        <f t="shared" si="154"/>
        <v/>
      </c>
      <c r="AC306" s="1222" t="str">
        <f t="shared" si="154"/>
        <v/>
      </c>
      <c r="AD306" s="1222" t="str">
        <f t="shared" si="154"/>
        <v/>
      </c>
      <c r="AE306" s="1222" t="str">
        <f t="shared" si="154"/>
        <v/>
      </c>
      <c r="AF306" s="1222" t="str">
        <f t="shared" si="154"/>
        <v/>
      </c>
      <c r="AG306" s="1222" t="str">
        <f t="shared" si="154"/>
        <v/>
      </c>
      <c r="AH306" s="1222" t="str">
        <f t="shared" si="154"/>
        <v/>
      </c>
      <c r="AI306" s="1859"/>
      <c r="AJ306" s="1861"/>
      <c r="AK306" s="1861"/>
      <c r="AL306" s="1863"/>
      <c r="AM306" s="1855"/>
      <c r="AN306" s="1857"/>
      <c r="AO306" s="1857"/>
      <c r="AP306" s="1857"/>
      <c r="AQ306" s="1857"/>
      <c r="AR306" s="1865"/>
      <c r="AT306" s="1210" t="s">
        <v>388</v>
      </c>
      <c r="AU306" s="1221" t="str">
        <f>IF(OR(AU303&gt;0,AU304&gt;0,AU305&gt;0),1,"")</f>
        <v/>
      </c>
      <c r="AV306" s="1222" t="str">
        <f>IF(OR(AV303&gt;0,AV304&gt;0,AV305&gt;0),1,"")</f>
        <v/>
      </c>
      <c r="AW306" s="1222" t="str">
        <f t="shared" ref="AW306:BD306" si="155">IF(OR(AW303&gt;0,AW304&gt;0,AW305&gt;0),1,"")</f>
        <v/>
      </c>
      <c r="AX306" s="1222" t="str">
        <f t="shared" si="155"/>
        <v/>
      </c>
      <c r="AY306" s="1222" t="str">
        <f t="shared" si="155"/>
        <v/>
      </c>
      <c r="AZ306" s="1222" t="str">
        <f t="shared" si="155"/>
        <v/>
      </c>
      <c r="BA306" s="1222" t="str">
        <f t="shared" si="155"/>
        <v/>
      </c>
      <c r="BB306" s="1222" t="str">
        <f t="shared" si="155"/>
        <v/>
      </c>
      <c r="BC306" s="1222" t="str">
        <f t="shared" si="155"/>
        <v/>
      </c>
      <c r="BD306" s="1222" t="str">
        <f t="shared" si="155"/>
        <v/>
      </c>
      <c r="BE306" s="1859"/>
      <c r="BF306" s="1861"/>
      <c r="BG306" s="1861"/>
      <c r="BH306" s="1863"/>
      <c r="BI306" s="1855"/>
      <c r="BJ306" s="1857"/>
      <c r="BK306" s="1857"/>
      <c r="BL306" s="1857"/>
      <c r="BM306" s="1857"/>
      <c r="BN306" s="1865"/>
    </row>
    <row r="307" spans="2:66" ht="15" customHeight="1" thickTop="1">
      <c r="B307" s="1194" t="s">
        <v>387</v>
      </c>
      <c r="C307" s="1195"/>
      <c r="D307" s="1196"/>
      <c r="E307" s="1196"/>
      <c r="F307" s="1196"/>
      <c r="G307" s="1196"/>
      <c r="H307" s="1196"/>
      <c r="I307" s="1196"/>
      <c r="J307" s="1196"/>
      <c r="K307" s="1196"/>
      <c r="L307" s="1197"/>
      <c r="M307" s="1858">
        <f>SUM(C307:L307)</f>
        <v>0</v>
      </c>
      <c r="N307" s="1860">
        <f>SUM(C308:L308)</f>
        <v>0</v>
      </c>
      <c r="O307" s="1860">
        <f>SUM(C309:L309)</f>
        <v>0</v>
      </c>
      <c r="P307" s="1862">
        <f>SUM(C310:L310)</f>
        <v>0</v>
      </c>
      <c r="Q307" s="1854" t="str">
        <f>IF(G294="","",SUM(N307:P311))</f>
        <v/>
      </c>
      <c r="R307" s="1856"/>
      <c r="S307" s="1856"/>
      <c r="T307" s="1856"/>
      <c r="U307" s="1856"/>
      <c r="V307" s="1864" t="s">
        <v>395</v>
      </c>
      <c r="X307" s="1194" t="s">
        <v>387</v>
      </c>
      <c r="Y307" s="1195"/>
      <c r="Z307" s="1196"/>
      <c r="AA307" s="1196"/>
      <c r="AB307" s="1196"/>
      <c r="AC307" s="1196"/>
      <c r="AD307" s="1196"/>
      <c r="AE307" s="1196"/>
      <c r="AF307" s="1196"/>
      <c r="AG307" s="1196"/>
      <c r="AH307" s="1197"/>
      <c r="AI307" s="1858">
        <f>SUM(Y307:AH307)</f>
        <v>0</v>
      </c>
      <c r="AJ307" s="1860">
        <f>SUM(Y308:AH308)</f>
        <v>0</v>
      </c>
      <c r="AK307" s="1860">
        <f>SUM(Y309:AH309)</f>
        <v>0</v>
      </c>
      <c r="AL307" s="1862">
        <f>SUM(Y310:AH310)</f>
        <v>0</v>
      </c>
      <c r="AM307" s="1854" t="str">
        <f>IF(AC294="","",SUM(AJ307:AL311))</f>
        <v/>
      </c>
      <c r="AN307" s="1856"/>
      <c r="AO307" s="1856"/>
      <c r="AP307" s="1856"/>
      <c r="AQ307" s="1856"/>
      <c r="AR307" s="1864" t="s">
        <v>395</v>
      </c>
      <c r="AT307" s="1194" t="s">
        <v>387</v>
      </c>
      <c r="AU307" s="1195"/>
      <c r="AV307" s="1196"/>
      <c r="AW307" s="1196"/>
      <c r="AX307" s="1196"/>
      <c r="AY307" s="1196"/>
      <c r="AZ307" s="1196"/>
      <c r="BA307" s="1196"/>
      <c r="BB307" s="1196"/>
      <c r="BC307" s="1196"/>
      <c r="BD307" s="1197"/>
      <c r="BE307" s="1858">
        <f>SUM(AU307:BD307)</f>
        <v>0</v>
      </c>
      <c r="BF307" s="1860">
        <f>SUM(AU308:BD308)</f>
        <v>0</v>
      </c>
      <c r="BG307" s="1860">
        <f>SUM(AU309:BD309)</f>
        <v>0</v>
      </c>
      <c r="BH307" s="1862">
        <f>SUM(AU310:BD310)</f>
        <v>0</v>
      </c>
      <c r="BI307" s="1854" t="str">
        <f>IF(AY294="","",SUM(BF307:BH311))</f>
        <v/>
      </c>
      <c r="BJ307" s="1856"/>
      <c r="BK307" s="1856"/>
      <c r="BL307" s="1856"/>
      <c r="BM307" s="1856"/>
      <c r="BN307" s="1864" t="s">
        <v>395</v>
      </c>
    </row>
    <row r="308" spans="2:66" ht="13.5">
      <c r="B308" s="1198" t="s">
        <v>383</v>
      </c>
      <c r="C308" s="1199"/>
      <c r="D308" s="1200"/>
      <c r="E308" s="1200"/>
      <c r="F308" s="1200"/>
      <c r="G308" s="1200"/>
      <c r="H308" s="1200"/>
      <c r="I308" s="1200"/>
      <c r="J308" s="1200"/>
      <c r="K308" s="1200"/>
      <c r="L308" s="1201"/>
      <c r="M308" s="1843"/>
      <c r="N308" s="1846"/>
      <c r="O308" s="1846"/>
      <c r="P308" s="1849"/>
      <c r="Q308" s="1852"/>
      <c r="R308" s="1840"/>
      <c r="S308" s="1840"/>
      <c r="T308" s="1840"/>
      <c r="U308" s="1840"/>
      <c r="V308" s="1837"/>
      <c r="X308" s="1198" t="s">
        <v>383</v>
      </c>
      <c r="Y308" s="1199"/>
      <c r="Z308" s="1200"/>
      <c r="AA308" s="1200"/>
      <c r="AB308" s="1200"/>
      <c r="AC308" s="1200"/>
      <c r="AD308" s="1200"/>
      <c r="AE308" s="1200"/>
      <c r="AF308" s="1200"/>
      <c r="AG308" s="1200"/>
      <c r="AH308" s="1201"/>
      <c r="AI308" s="1843"/>
      <c r="AJ308" s="1846"/>
      <c r="AK308" s="1846"/>
      <c r="AL308" s="1849"/>
      <c r="AM308" s="1852"/>
      <c r="AN308" s="1840"/>
      <c r="AO308" s="1840"/>
      <c r="AP308" s="1840"/>
      <c r="AQ308" s="1840"/>
      <c r="AR308" s="1837"/>
      <c r="AT308" s="1198" t="s">
        <v>383</v>
      </c>
      <c r="AU308" s="1199"/>
      <c r="AV308" s="1200"/>
      <c r="AW308" s="1200"/>
      <c r="AX308" s="1200"/>
      <c r="AY308" s="1200"/>
      <c r="AZ308" s="1200"/>
      <c r="BA308" s="1200"/>
      <c r="BB308" s="1200"/>
      <c r="BC308" s="1200"/>
      <c r="BD308" s="1201"/>
      <c r="BE308" s="1843"/>
      <c r="BF308" s="1846"/>
      <c r="BG308" s="1846"/>
      <c r="BH308" s="1849"/>
      <c r="BI308" s="1852"/>
      <c r="BJ308" s="1840"/>
      <c r="BK308" s="1840"/>
      <c r="BL308" s="1840"/>
      <c r="BM308" s="1840"/>
      <c r="BN308" s="1837"/>
    </row>
    <row r="309" spans="2:66" ht="13.5">
      <c r="B309" s="1202" t="s">
        <v>384</v>
      </c>
      <c r="C309" s="1203"/>
      <c r="D309" s="1204"/>
      <c r="E309" s="1204"/>
      <c r="F309" s="1204"/>
      <c r="G309" s="1204"/>
      <c r="H309" s="1204"/>
      <c r="I309" s="1204"/>
      <c r="J309" s="1204"/>
      <c r="K309" s="1204"/>
      <c r="L309" s="1205"/>
      <c r="M309" s="1843"/>
      <c r="N309" s="1846"/>
      <c r="O309" s="1846"/>
      <c r="P309" s="1849"/>
      <c r="Q309" s="1852"/>
      <c r="R309" s="1840"/>
      <c r="S309" s="1840"/>
      <c r="T309" s="1840"/>
      <c r="U309" s="1840"/>
      <c r="V309" s="1837"/>
      <c r="X309" s="1202" t="s">
        <v>384</v>
      </c>
      <c r="Y309" s="1203"/>
      <c r="Z309" s="1204"/>
      <c r="AA309" s="1204"/>
      <c r="AB309" s="1204"/>
      <c r="AC309" s="1204"/>
      <c r="AD309" s="1204"/>
      <c r="AE309" s="1204"/>
      <c r="AF309" s="1204"/>
      <c r="AG309" s="1204"/>
      <c r="AH309" s="1205"/>
      <c r="AI309" s="1843"/>
      <c r="AJ309" s="1846"/>
      <c r="AK309" s="1846"/>
      <c r="AL309" s="1849"/>
      <c r="AM309" s="1852"/>
      <c r="AN309" s="1840"/>
      <c r="AO309" s="1840"/>
      <c r="AP309" s="1840"/>
      <c r="AQ309" s="1840"/>
      <c r="AR309" s="1837"/>
      <c r="AT309" s="1202" t="s">
        <v>384</v>
      </c>
      <c r="AU309" s="1203"/>
      <c r="AV309" s="1204"/>
      <c r="AW309" s="1204"/>
      <c r="AX309" s="1204"/>
      <c r="AY309" s="1204"/>
      <c r="AZ309" s="1204"/>
      <c r="BA309" s="1204"/>
      <c r="BB309" s="1204"/>
      <c r="BC309" s="1204"/>
      <c r="BD309" s="1205"/>
      <c r="BE309" s="1843"/>
      <c r="BF309" s="1846"/>
      <c r="BG309" s="1846"/>
      <c r="BH309" s="1849"/>
      <c r="BI309" s="1852"/>
      <c r="BJ309" s="1840"/>
      <c r="BK309" s="1840"/>
      <c r="BL309" s="1840"/>
      <c r="BM309" s="1840"/>
      <c r="BN309" s="1837"/>
    </row>
    <row r="310" spans="2:66" ht="13.5">
      <c r="B310" s="1206" t="s">
        <v>385</v>
      </c>
      <c r="C310" s="1207"/>
      <c r="D310" s="1208"/>
      <c r="E310" s="1208"/>
      <c r="F310" s="1208"/>
      <c r="G310" s="1208"/>
      <c r="H310" s="1208"/>
      <c r="I310" s="1208"/>
      <c r="J310" s="1208"/>
      <c r="K310" s="1208"/>
      <c r="L310" s="1209"/>
      <c r="M310" s="1843"/>
      <c r="N310" s="1846"/>
      <c r="O310" s="1846"/>
      <c r="P310" s="1849"/>
      <c r="Q310" s="1852"/>
      <c r="R310" s="1840"/>
      <c r="S310" s="1840"/>
      <c r="T310" s="1840"/>
      <c r="U310" s="1840"/>
      <c r="V310" s="1837"/>
      <c r="X310" s="1206" t="s">
        <v>385</v>
      </c>
      <c r="Y310" s="1207"/>
      <c r="Z310" s="1208"/>
      <c r="AA310" s="1208"/>
      <c r="AB310" s="1208"/>
      <c r="AC310" s="1208"/>
      <c r="AD310" s="1208"/>
      <c r="AE310" s="1208"/>
      <c r="AF310" s="1208"/>
      <c r="AG310" s="1208"/>
      <c r="AH310" s="1209"/>
      <c r="AI310" s="1843"/>
      <c r="AJ310" s="1846"/>
      <c r="AK310" s="1846"/>
      <c r="AL310" s="1849"/>
      <c r="AM310" s="1852"/>
      <c r="AN310" s="1840"/>
      <c r="AO310" s="1840"/>
      <c r="AP310" s="1840"/>
      <c r="AQ310" s="1840"/>
      <c r="AR310" s="1837"/>
      <c r="AT310" s="1206" t="s">
        <v>385</v>
      </c>
      <c r="AU310" s="1207"/>
      <c r="AV310" s="1208"/>
      <c r="AW310" s="1208"/>
      <c r="AX310" s="1208"/>
      <c r="AY310" s="1208"/>
      <c r="AZ310" s="1208"/>
      <c r="BA310" s="1208"/>
      <c r="BB310" s="1208"/>
      <c r="BC310" s="1208"/>
      <c r="BD310" s="1209"/>
      <c r="BE310" s="1843"/>
      <c r="BF310" s="1846"/>
      <c r="BG310" s="1846"/>
      <c r="BH310" s="1849"/>
      <c r="BI310" s="1852"/>
      <c r="BJ310" s="1840"/>
      <c r="BK310" s="1840"/>
      <c r="BL310" s="1840"/>
      <c r="BM310" s="1840"/>
      <c r="BN310" s="1837"/>
    </row>
    <row r="311" spans="2:66" ht="14" thickBot="1">
      <c r="B311" s="1210" t="s">
        <v>388</v>
      </c>
      <c r="C311" s="1221" t="str">
        <f>IF(OR(C308&gt;0,C309&gt;0,C310&gt;0),1,"")</f>
        <v/>
      </c>
      <c r="D311" s="1222" t="str">
        <f>IF(OR(D308&gt;0,D309&gt;0,D310&gt;0),1,"")</f>
        <v/>
      </c>
      <c r="E311" s="1222" t="str">
        <f t="shared" ref="E311:L311" si="156">IF(OR(E308&gt;0,E309&gt;0,E310&gt;0),1,"")</f>
        <v/>
      </c>
      <c r="F311" s="1222" t="str">
        <f t="shared" si="156"/>
        <v/>
      </c>
      <c r="G311" s="1222" t="str">
        <f t="shared" si="156"/>
        <v/>
      </c>
      <c r="H311" s="1222" t="str">
        <f t="shared" si="156"/>
        <v/>
      </c>
      <c r="I311" s="1222" t="str">
        <f t="shared" si="156"/>
        <v/>
      </c>
      <c r="J311" s="1222" t="str">
        <f t="shared" si="156"/>
        <v/>
      </c>
      <c r="K311" s="1222" t="str">
        <f t="shared" si="156"/>
        <v/>
      </c>
      <c r="L311" s="1222" t="str">
        <f t="shared" si="156"/>
        <v/>
      </c>
      <c r="M311" s="1859"/>
      <c r="N311" s="1861"/>
      <c r="O311" s="1861"/>
      <c r="P311" s="1863"/>
      <c r="Q311" s="1855"/>
      <c r="R311" s="1857"/>
      <c r="S311" s="1857"/>
      <c r="T311" s="1857"/>
      <c r="U311" s="1857"/>
      <c r="V311" s="1865"/>
      <c r="X311" s="1210" t="s">
        <v>388</v>
      </c>
      <c r="Y311" s="1221" t="str">
        <f>IF(OR(Y308&gt;0,Y309&gt;0,Y310&gt;0),1,"")</f>
        <v/>
      </c>
      <c r="Z311" s="1222" t="str">
        <f>IF(OR(Z308&gt;0,Z309&gt;0,Z310&gt;0),1,"")</f>
        <v/>
      </c>
      <c r="AA311" s="1222" t="str">
        <f t="shared" ref="AA311:AH311" si="157">IF(OR(AA308&gt;0,AA309&gt;0,AA310&gt;0),1,"")</f>
        <v/>
      </c>
      <c r="AB311" s="1222" t="str">
        <f t="shared" si="157"/>
        <v/>
      </c>
      <c r="AC311" s="1222" t="str">
        <f t="shared" si="157"/>
        <v/>
      </c>
      <c r="AD311" s="1222" t="str">
        <f t="shared" si="157"/>
        <v/>
      </c>
      <c r="AE311" s="1222" t="str">
        <f t="shared" si="157"/>
        <v/>
      </c>
      <c r="AF311" s="1222" t="str">
        <f t="shared" si="157"/>
        <v/>
      </c>
      <c r="AG311" s="1222" t="str">
        <f t="shared" si="157"/>
        <v/>
      </c>
      <c r="AH311" s="1222" t="str">
        <f t="shared" si="157"/>
        <v/>
      </c>
      <c r="AI311" s="1859"/>
      <c r="AJ311" s="1861"/>
      <c r="AK311" s="1861"/>
      <c r="AL311" s="1863"/>
      <c r="AM311" s="1855"/>
      <c r="AN311" s="1857"/>
      <c r="AO311" s="1857"/>
      <c r="AP311" s="1857"/>
      <c r="AQ311" s="1857"/>
      <c r="AR311" s="1865"/>
      <c r="AT311" s="1210" t="s">
        <v>388</v>
      </c>
      <c r="AU311" s="1221" t="str">
        <f>IF(OR(AU308&gt;0,AU309&gt;0,AU310&gt;0),1,"")</f>
        <v/>
      </c>
      <c r="AV311" s="1222" t="str">
        <f>IF(OR(AV308&gt;0,AV309&gt;0,AV310&gt;0),1,"")</f>
        <v/>
      </c>
      <c r="AW311" s="1222" t="str">
        <f t="shared" ref="AW311:BD311" si="158">IF(OR(AW308&gt;0,AW309&gt;0,AW310&gt;0),1,"")</f>
        <v/>
      </c>
      <c r="AX311" s="1222" t="str">
        <f t="shared" si="158"/>
        <v/>
      </c>
      <c r="AY311" s="1222" t="str">
        <f t="shared" si="158"/>
        <v/>
      </c>
      <c r="AZ311" s="1222" t="str">
        <f t="shared" si="158"/>
        <v/>
      </c>
      <c r="BA311" s="1222" t="str">
        <f t="shared" si="158"/>
        <v/>
      </c>
      <c r="BB311" s="1222" t="str">
        <f t="shared" si="158"/>
        <v/>
      </c>
      <c r="BC311" s="1222" t="str">
        <f t="shared" si="158"/>
        <v/>
      </c>
      <c r="BD311" s="1222" t="str">
        <f t="shared" si="158"/>
        <v/>
      </c>
      <c r="BE311" s="1859"/>
      <c r="BF311" s="1861"/>
      <c r="BG311" s="1861"/>
      <c r="BH311" s="1863"/>
      <c r="BI311" s="1855"/>
      <c r="BJ311" s="1857"/>
      <c r="BK311" s="1857"/>
      <c r="BL311" s="1857"/>
      <c r="BM311" s="1857"/>
      <c r="BN311" s="1865"/>
    </row>
    <row r="312" spans="2:66" ht="15" customHeight="1" thickTop="1">
      <c r="B312" s="1194" t="s">
        <v>387</v>
      </c>
      <c r="C312" s="1195"/>
      <c r="D312" s="1196"/>
      <c r="E312" s="1196"/>
      <c r="F312" s="1196"/>
      <c r="G312" s="1196"/>
      <c r="H312" s="1196"/>
      <c r="I312" s="1196"/>
      <c r="J312" s="1196"/>
      <c r="K312" s="1196"/>
      <c r="L312" s="1197"/>
      <c r="M312" s="1858">
        <f>SUM(C312:L312)</f>
        <v>0</v>
      </c>
      <c r="N312" s="1860">
        <f>SUM(C313:L313)</f>
        <v>0</v>
      </c>
      <c r="O312" s="1860">
        <f>SUM(C314:L314)</f>
        <v>0</v>
      </c>
      <c r="P312" s="1862">
        <f>SUM(C315:L315)</f>
        <v>0</v>
      </c>
      <c r="Q312" s="1854" t="str">
        <f>IF(G294="","",SUM(N312:P316))</f>
        <v/>
      </c>
      <c r="R312" s="1856"/>
      <c r="S312" s="1856"/>
      <c r="T312" s="1856"/>
      <c r="U312" s="1856"/>
      <c r="V312" s="1864" t="s">
        <v>395</v>
      </c>
      <c r="X312" s="1194" t="s">
        <v>387</v>
      </c>
      <c r="Y312" s="1195"/>
      <c r="Z312" s="1196"/>
      <c r="AA312" s="1196"/>
      <c r="AB312" s="1196"/>
      <c r="AC312" s="1196"/>
      <c r="AD312" s="1196"/>
      <c r="AE312" s="1196"/>
      <c r="AF312" s="1196"/>
      <c r="AG312" s="1196"/>
      <c r="AH312" s="1197"/>
      <c r="AI312" s="1858">
        <f>SUM(Y312:AH312)</f>
        <v>0</v>
      </c>
      <c r="AJ312" s="1860">
        <f>SUM(Y313:AH313)</f>
        <v>0</v>
      </c>
      <c r="AK312" s="1860">
        <f>SUM(Y314:AH314)</f>
        <v>0</v>
      </c>
      <c r="AL312" s="1862">
        <f>SUM(Y315:AH315)</f>
        <v>0</v>
      </c>
      <c r="AM312" s="1854" t="str">
        <f>IF(AC294="","",SUM(AJ312:AL316))</f>
        <v/>
      </c>
      <c r="AN312" s="1856"/>
      <c r="AO312" s="1856"/>
      <c r="AP312" s="1856"/>
      <c r="AQ312" s="1856"/>
      <c r="AR312" s="1864" t="s">
        <v>395</v>
      </c>
      <c r="AT312" s="1194" t="s">
        <v>387</v>
      </c>
      <c r="AU312" s="1195"/>
      <c r="AV312" s="1196"/>
      <c r="AW312" s="1196"/>
      <c r="AX312" s="1196"/>
      <c r="AY312" s="1196"/>
      <c r="AZ312" s="1196"/>
      <c r="BA312" s="1196"/>
      <c r="BB312" s="1196"/>
      <c r="BC312" s="1196"/>
      <c r="BD312" s="1197"/>
      <c r="BE312" s="1858">
        <f>SUM(AU312:BD312)</f>
        <v>0</v>
      </c>
      <c r="BF312" s="1860">
        <f>SUM(AU313:BD313)</f>
        <v>0</v>
      </c>
      <c r="BG312" s="1860">
        <f>SUM(AU314:BD314)</f>
        <v>0</v>
      </c>
      <c r="BH312" s="1862">
        <f>SUM(AU315:BD315)</f>
        <v>0</v>
      </c>
      <c r="BI312" s="1854" t="str">
        <f>IF(AY294="","",SUM(BF312:BH316))</f>
        <v/>
      </c>
      <c r="BJ312" s="1856"/>
      <c r="BK312" s="1856"/>
      <c r="BL312" s="1856"/>
      <c r="BM312" s="1856"/>
      <c r="BN312" s="1864" t="s">
        <v>395</v>
      </c>
    </row>
    <row r="313" spans="2:66" ht="13.5">
      <c r="B313" s="1198" t="s">
        <v>383</v>
      </c>
      <c r="C313" s="1199"/>
      <c r="D313" s="1200"/>
      <c r="E313" s="1200"/>
      <c r="F313" s="1200"/>
      <c r="G313" s="1200"/>
      <c r="H313" s="1200"/>
      <c r="I313" s="1200"/>
      <c r="J313" s="1200"/>
      <c r="K313" s="1200"/>
      <c r="L313" s="1201"/>
      <c r="M313" s="1843"/>
      <c r="N313" s="1846"/>
      <c r="O313" s="1846"/>
      <c r="P313" s="1849"/>
      <c r="Q313" s="1852"/>
      <c r="R313" s="1840"/>
      <c r="S313" s="1840"/>
      <c r="T313" s="1840"/>
      <c r="U313" s="1840"/>
      <c r="V313" s="1837"/>
      <c r="X313" s="1198" t="s">
        <v>383</v>
      </c>
      <c r="Y313" s="1199"/>
      <c r="Z313" s="1200"/>
      <c r="AA313" s="1200"/>
      <c r="AB313" s="1200"/>
      <c r="AC313" s="1200"/>
      <c r="AD313" s="1200"/>
      <c r="AE313" s="1200"/>
      <c r="AF313" s="1200"/>
      <c r="AG313" s="1200"/>
      <c r="AH313" s="1201"/>
      <c r="AI313" s="1843"/>
      <c r="AJ313" s="1846"/>
      <c r="AK313" s="1846"/>
      <c r="AL313" s="1849"/>
      <c r="AM313" s="1852"/>
      <c r="AN313" s="1840"/>
      <c r="AO313" s="1840"/>
      <c r="AP313" s="1840"/>
      <c r="AQ313" s="1840"/>
      <c r="AR313" s="1837"/>
      <c r="AT313" s="1198" t="s">
        <v>383</v>
      </c>
      <c r="AU313" s="1199"/>
      <c r="AV313" s="1200"/>
      <c r="AW313" s="1200"/>
      <c r="AX313" s="1200"/>
      <c r="AY313" s="1200"/>
      <c r="AZ313" s="1200"/>
      <c r="BA313" s="1200"/>
      <c r="BB313" s="1200"/>
      <c r="BC313" s="1200"/>
      <c r="BD313" s="1201"/>
      <c r="BE313" s="1843"/>
      <c r="BF313" s="1846"/>
      <c r="BG313" s="1846"/>
      <c r="BH313" s="1849"/>
      <c r="BI313" s="1852"/>
      <c r="BJ313" s="1840"/>
      <c r="BK313" s="1840"/>
      <c r="BL313" s="1840"/>
      <c r="BM313" s="1840"/>
      <c r="BN313" s="1837"/>
    </row>
    <row r="314" spans="2:66" ht="13.5">
      <c r="B314" s="1202" t="s">
        <v>384</v>
      </c>
      <c r="C314" s="1203"/>
      <c r="D314" s="1204"/>
      <c r="E314" s="1204"/>
      <c r="F314" s="1204"/>
      <c r="G314" s="1204"/>
      <c r="H314" s="1204"/>
      <c r="I314" s="1204"/>
      <c r="J314" s="1204"/>
      <c r="K314" s="1204"/>
      <c r="L314" s="1205"/>
      <c r="M314" s="1843"/>
      <c r="N314" s="1846"/>
      <c r="O314" s="1846"/>
      <c r="P314" s="1849"/>
      <c r="Q314" s="1852"/>
      <c r="R314" s="1840"/>
      <c r="S314" s="1840"/>
      <c r="T314" s="1840"/>
      <c r="U314" s="1840"/>
      <c r="V314" s="1837"/>
      <c r="X314" s="1202" t="s">
        <v>384</v>
      </c>
      <c r="Y314" s="1203"/>
      <c r="Z314" s="1204"/>
      <c r="AA314" s="1204"/>
      <c r="AB314" s="1204"/>
      <c r="AC314" s="1204"/>
      <c r="AD314" s="1204"/>
      <c r="AE314" s="1204"/>
      <c r="AF314" s="1204"/>
      <c r="AG314" s="1204"/>
      <c r="AH314" s="1205"/>
      <c r="AI314" s="1843"/>
      <c r="AJ314" s="1846"/>
      <c r="AK314" s="1846"/>
      <c r="AL314" s="1849"/>
      <c r="AM314" s="1852"/>
      <c r="AN314" s="1840"/>
      <c r="AO314" s="1840"/>
      <c r="AP314" s="1840"/>
      <c r="AQ314" s="1840"/>
      <c r="AR314" s="1837"/>
      <c r="AT314" s="1202" t="s">
        <v>384</v>
      </c>
      <c r="AU314" s="1203"/>
      <c r="AV314" s="1204"/>
      <c r="AW314" s="1204"/>
      <c r="AX314" s="1204"/>
      <c r="AY314" s="1204"/>
      <c r="AZ314" s="1204"/>
      <c r="BA314" s="1204"/>
      <c r="BB314" s="1204"/>
      <c r="BC314" s="1204"/>
      <c r="BD314" s="1205"/>
      <c r="BE314" s="1843"/>
      <c r="BF314" s="1846"/>
      <c r="BG314" s="1846"/>
      <c r="BH314" s="1849"/>
      <c r="BI314" s="1852"/>
      <c r="BJ314" s="1840"/>
      <c r="BK314" s="1840"/>
      <c r="BL314" s="1840"/>
      <c r="BM314" s="1840"/>
      <c r="BN314" s="1837"/>
    </row>
    <row r="315" spans="2:66" ht="13.5">
      <c r="B315" s="1206" t="s">
        <v>385</v>
      </c>
      <c r="C315" s="1207"/>
      <c r="D315" s="1208"/>
      <c r="E315" s="1208"/>
      <c r="F315" s="1208"/>
      <c r="G315" s="1208"/>
      <c r="H315" s="1208"/>
      <c r="I315" s="1208"/>
      <c r="J315" s="1208"/>
      <c r="K315" s="1208"/>
      <c r="L315" s="1209"/>
      <c r="M315" s="1843"/>
      <c r="N315" s="1846"/>
      <c r="O315" s="1846"/>
      <c r="P315" s="1849"/>
      <c r="Q315" s="1852"/>
      <c r="R315" s="1840"/>
      <c r="S315" s="1840"/>
      <c r="T315" s="1840"/>
      <c r="U315" s="1840"/>
      <c r="V315" s="1837"/>
      <c r="X315" s="1206" t="s">
        <v>385</v>
      </c>
      <c r="Y315" s="1207"/>
      <c r="Z315" s="1208"/>
      <c r="AA315" s="1208"/>
      <c r="AB315" s="1208"/>
      <c r="AC315" s="1208"/>
      <c r="AD315" s="1208"/>
      <c r="AE315" s="1208"/>
      <c r="AF315" s="1208"/>
      <c r="AG315" s="1208"/>
      <c r="AH315" s="1209"/>
      <c r="AI315" s="1843"/>
      <c r="AJ315" s="1846"/>
      <c r="AK315" s="1846"/>
      <c r="AL315" s="1849"/>
      <c r="AM315" s="1852"/>
      <c r="AN315" s="1840"/>
      <c r="AO315" s="1840"/>
      <c r="AP315" s="1840"/>
      <c r="AQ315" s="1840"/>
      <c r="AR315" s="1837"/>
      <c r="AT315" s="1206" t="s">
        <v>385</v>
      </c>
      <c r="AU315" s="1207"/>
      <c r="AV315" s="1208"/>
      <c r="AW315" s="1208"/>
      <c r="AX315" s="1208"/>
      <c r="AY315" s="1208"/>
      <c r="AZ315" s="1208"/>
      <c r="BA315" s="1208"/>
      <c r="BB315" s="1208"/>
      <c r="BC315" s="1208"/>
      <c r="BD315" s="1209"/>
      <c r="BE315" s="1843"/>
      <c r="BF315" s="1846"/>
      <c r="BG315" s="1846"/>
      <c r="BH315" s="1849"/>
      <c r="BI315" s="1852"/>
      <c r="BJ315" s="1840"/>
      <c r="BK315" s="1840"/>
      <c r="BL315" s="1840"/>
      <c r="BM315" s="1840"/>
      <c r="BN315" s="1837"/>
    </row>
    <row r="316" spans="2:66" ht="14" thickBot="1">
      <c r="B316" s="1210" t="s">
        <v>388</v>
      </c>
      <c r="C316" s="1221" t="str">
        <f>IF(OR(C313&gt;0,C314&gt;0,C315&gt;0),1,"")</f>
        <v/>
      </c>
      <c r="D316" s="1222" t="str">
        <f>IF(OR(D313&gt;0,D314&gt;0,D315&gt;0),1,"")</f>
        <v/>
      </c>
      <c r="E316" s="1222" t="str">
        <f t="shared" ref="E316:L316" si="159">IF(OR(E313&gt;0,E314&gt;0,E315&gt;0),1,"")</f>
        <v/>
      </c>
      <c r="F316" s="1222" t="str">
        <f t="shared" si="159"/>
        <v/>
      </c>
      <c r="G316" s="1222" t="str">
        <f t="shared" si="159"/>
        <v/>
      </c>
      <c r="H316" s="1222" t="str">
        <f t="shared" si="159"/>
        <v/>
      </c>
      <c r="I316" s="1222" t="str">
        <f t="shared" si="159"/>
        <v/>
      </c>
      <c r="J316" s="1222" t="str">
        <f t="shared" si="159"/>
        <v/>
      </c>
      <c r="K316" s="1222" t="str">
        <f t="shared" si="159"/>
        <v/>
      </c>
      <c r="L316" s="1222" t="str">
        <f t="shared" si="159"/>
        <v/>
      </c>
      <c r="M316" s="1859"/>
      <c r="N316" s="1861"/>
      <c r="O316" s="1861"/>
      <c r="P316" s="1863"/>
      <c r="Q316" s="1855"/>
      <c r="R316" s="1857"/>
      <c r="S316" s="1857"/>
      <c r="T316" s="1857"/>
      <c r="U316" s="1857"/>
      <c r="V316" s="1865"/>
      <c r="X316" s="1210" t="s">
        <v>388</v>
      </c>
      <c r="Y316" s="1221" t="str">
        <f>IF(OR(Y313&gt;0,Y314&gt;0,Y315&gt;0),1,"")</f>
        <v/>
      </c>
      <c r="Z316" s="1222" t="str">
        <f>IF(OR(Z313&gt;0,Z314&gt;0,Z315&gt;0),1,"")</f>
        <v/>
      </c>
      <c r="AA316" s="1222" t="str">
        <f t="shared" ref="AA316:AH316" si="160">IF(OR(AA313&gt;0,AA314&gt;0,AA315&gt;0),1,"")</f>
        <v/>
      </c>
      <c r="AB316" s="1222" t="str">
        <f t="shared" si="160"/>
        <v/>
      </c>
      <c r="AC316" s="1222" t="str">
        <f t="shared" si="160"/>
        <v/>
      </c>
      <c r="AD316" s="1222" t="str">
        <f t="shared" si="160"/>
        <v/>
      </c>
      <c r="AE316" s="1222" t="str">
        <f t="shared" si="160"/>
        <v/>
      </c>
      <c r="AF316" s="1222" t="str">
        <f t="shared" si="160"/>
        <v/>
      </c>
      <c r="AG316" s="1222" t="str">
        <f t="shared" si="160"/>
        <v/>
      </c>
      <c r="AH316" s="1222" t="str">
        <f t="shared" si="160"/>
        <v/>
      </c>
      <c r="AI316" s="1859"/>
      <c r="AJ316" s="1861"/>
      <c r="AK316" s="1861"/>
      <c r="AL316" s="1863"/>
      <c r="AM316" s="1855"/>
      <c r="AN316" s="1857"/>
      <c r="AO316" s="1857"/>
      <c r="AP316" s="1857"/>
      <c r="AQ316" s="1857"/>
      <c r="AR316" s="1865"/>
      <c r="AT316" s="1210" t="s">
        <v>388</v>
      </c>
      <c r="AU316" s="1221" t="str">
        <f>IF(OR(AU313&gt;0,AU314&gt;0,AU315&gt;0),1,"")</f>
        <v/>
      </c>
      <c r="AV316" s="1222" t="str">
        <f>IF(OR(AV313&gt;0,AV314&gt;0,AV315&gt;0),1,"")</f>
        <v/>
      </c>
      <c r="AW316" s="1222" t="str">
        <f t="shared" ref="AW316:BD316" si="161">IF(OR(AW313&gt;0,AW314&gt;0,AW315&gt;0),1,"")</f>
        <v/>
      </c>
      <c r="AX316" s="1222" t="str">
        <f t="shared" si="161"/>
        <v/>
      </c>
      <c r="AY316" s="1222" t="str">
        <f t="shared" si="161"/>
        <v/>
      </c>
      <c r="AZ316" s="1222" t="str">
        <f t="shared" si="161"/>
        <v/>
      </c>
      <c r="BA316" s="1222" t="str">
        <f t="shared" si="161"/>
        <v/>
      </c>
      <c r="BB316" s="1222" t="str">
        <f t="shared" si="161"/>
        <v/>
      </c>
      <c r="BC316" s="1222" t="str">
        <f t="shared" si="161"/>
        <v/>
      </c>
      <c r="BD316" s="1222" t="str">
        <f t="shared" si="161"/>
        <v/>
      </c>
      <c r="BE316" s="1859"/>
      <c r="BF316" s="1861"/>
      <c r="BG316" s="1861"/>
      <c r="BH316" s="1863"/>
      <c r="BI316" s="1855"/>
      <c r="BJ316" s="1857"/>
      <c r="BK316" s="1857"/>
      <c r="BL316" s="1857"/>
      <c r="BM316" s="1857"/>
      <c r="BN316" s="1865"/>
    </row>
    <row r="317" spans="2:66" ht="15" customHeight="1" thickTop="1">
      <c r="B317" s="1194" t="s">
        <v>387</v>
      </c>
      <c r="C317" s="1195"/>
      <c r="D317" s="1196"/>
      <c r="E317" s="1196"/>
      <c r="F317" s="1196"/>
      <c r="G317" s="1196"/>
      <c r="H317" s="1196"/>
      <c r="I317" s="1196"/>
      <c r="J317" s="1196"/>
      <c r="K317" s="1196"/>
      <c r="L317" s="1197"/>
      <c r="M317" s="1842">
        <f>SUM(C317:L317)</f>
        <v>0</v>
      </c>
      <c r="N317" s="1845">
        <f>SUM(C318:L318)</f>
        <v>0</v>
      </c>
      <c r="O317" s="1845">
        <f>SUM(C319:L319)</f>
        <v>0</v>
      </c>
      <c r="P317" s="1848">
        <f>SUM(C320:L320)</f>
        <v>0</v>
      </c>
      <c r="Q317" s="1851" t="str">
        <f>IF(G294="","",SUM(N317:P321))</f>
        <v/>
      </c>
      <c r="R317" s="1839"/>
      <c r="S317" s="1839"/>
      <c r="T317" s="1839"/>
      <c r="U317" s="1839"/>
      <c r="V317" s="1836" t="s">
        <v>395</v>
      </c>
      <c r="X317" s="1194" t="s">
        <v>387</v>
      </c>
      <c r="Y317" s="1195"/>
      <c r="Z317" s="1196"/>
      <c r="AA317" s="1196"/>
      <c r="AB317" s="1196"/>
      <c r="AC317" s="1196"/>
      <c r="AD317" s="1196"/>
      <c r="AE317" s="1196"/>
      <c r="AF317" s="1196"/>
      <c r="AG317" s="1196"/>
      <c r="AH317" s="1197"/>
      <c r="AI317" s="1842">
        <f>SUM(Y317:AH317)</f>
        <v>0</v>
      </c>
      <c r="AJ317" s="1845">
        <f>SUM(Y318:AH318)</f>
        <v>0</v>
      </c>
      <c r="AK317" s="1845">
        <f>SUM(Y319:AH319)</f>
        <v>0</v>
      </c>
      <c r="AL317" s="1848">
        <f>SUM(Y320:AH320)</f>
        <v>0</v>
      </c>
      <c r="AM317" s="1851" t="str">
        <f>IF(AC294="","",SUM(AJ317:AL321))</f>
        <v/>
      </c>
      <c r="AN317" s="1839"/>
      <c r="AO317" s="1839"/>
      <c r="AP317" s="1839"/>
      <c r="AQ317" s="1839"/>
      <c r="AR317" s="1836" t="s">
        <v>395</v>
      </c>
      <c r="AT317" s="1194" t="s">
        <v>387</v>
      </c>
      <c r="AU317" s="1195"/>
      <c r="AV317" s="1196"/>
      <c r="AW317" s="1196"/>
      <c r="AX317" s="1196"/>
      <c r="AY317" s="1196"/>
      <c r="AZ317" s="1196"/>
      <c r="BA317" s="1196"/>
      <c r="BB317" s="1196"/>
      <c r="BC317" s="1196"/>
      <c r="BD317" s="1197"/>
      <c r="BE317" s="1842">
        <f>SUM(AU317:BD317)</f>
        <v>0</v>
      </c>
      <c r="BF317" s="1845">
        <f>SUM(AU318:BD318)</f>
        <v>0</v>
      </c>
      <c r="BG317" s="1845">
        <f>SUM(AU319:BD319)</f>
        <v>0</v>
      </c>
      <c r="BH317" s="1848">
        <f>SUM(AU320:BD320)</f>
        <v>0</v>
      </c>
      <c r="BI317" s="1851" t="str">
        <f>IF(AY294="","",SUM(BF317:BH321))</f>
        <v/>
      </c>
      <c r="BJ317" s="1839"/>
      <c r="BK317" s="1839"/>
      <c r="BL317" s="1839"/>
      <c r="BM317" s="1839"/>
      <c r="BN317" s="1836" t="s">
        <v>395</v>
      </c>
    </row>
    <row r="318" spans="2:66" ht="13.5">
      <c r="B318" s="1198" t="s">
        <v>383</v>
      </c>
      <c r="C318" s="1199"/>
      <c r="D318" s="1200"/>
      <c r="E318" s="1200"/>
      <c r="F318" s="1200"/>
      <c r="G318" s="1200"/>
      <c r="H318" s="1200"/>
      <c r="I318" s="1200"/>
      <c r="J318" s="1200"/>
      <c r="K318" s="1200"/>
      <c r="L318" s="1201"/>
      <c r="M318" s="1843"/>
      <c r="N318" s="1846"/>
      <c r="O318" s="1846"/>
      <c r="P318" s="1849"/>
      <c r="Q318" s="1852"/>
      <c r="R318" s="1840"/>
      <c r="S318" s="1840"/>
      <c r="T318" s="1840"/>
      <c r="U318" s="1840"/>
      <c r="V318" s="1837"/>
      <c r="X318" s="1198" t="s">
        <v>383</v>
      </c>
      <c r="Y318" s="1199"/>
      <c r="Z318" s="1200"/>
      <c r="AA318" s="1200"/>
      <c r="AB318" s="1200"/>
      <c r="AC318" s="1200"/>
      <c r="AD318" s="1200"/>
      <c r="AE318" s="1200"/>
      <c r="AF318" s="1200"/>
      <c r="AG318" s="1200"/>
      <c r="AH318" s="1201"/>
      <c r="AI318" s="1843"/>
      <c r="AJ318" s="1846"/>
      <c r="AK318" s="1846"/>
      <c r="AL318" s="1849"/>
      <c r="AM318" s="1852"/>
      <c r="AN318" s="1840"/>
      <c r="AO318" s="1840"/>
      <c r="AP318" s="1840"/>
      <c r="AQ318" s="1840"/>
      <c r="AR318" s="1837"/>
      <c r="AT318" s="1198" t="s">
        <v>383</v>
      </c>
      <c r="AU318" s="1199"/>
      <c r="AV318" s="1200"/>
      <c r="AW318" s="1200"/>
      <c r="AX318" s="1200"/>
      <c r="AY318" s="1200"/>
      <c r="AZ318" s="1200"/>
      <c r="BA318" s="1200"/>
      <c r="BB318" s="1200"/>
      <c r="BC318" s="1200"/>
      <c r="BD318" s="1201"/>
      <c r="BE318" s="1843"/>
      <c r="BF318" s="1846"/>
      <c r="BG318" s="1846"/>
      <c r="BH318" s="1849"/>
      <c r="BI318" s="1852"/>
      <c r="BJ318" s="1840"/>
      <c r="BK318" s="1840"/>
      <c r="BL318" s="1840"/>
      <c r="BM318" s="1840"/>
      <c r="BN318" s="1837"/>
    </row>
    <row r="319" spans="2:66" ht="13.5">
      <c r="B319" s="1202" t="s">
        <v>384</v>
      </c>
      <c r="C319" s="1203"/>
      <c r="D319" s="1204"/>
      <c r="E319" s="1204"/>
      <c r="F319" s="1204"/>
      <c r="G319" s="1204"/>
      <c r="H319" s="1204"/>
      <c r="I319" s="1204"/>
      <c r="J319" s="1204"/>
      <c r="K319" s="1204"/>
      <c r="L319" s="1205"/>
      <c r="M319" s="1843"/>
      <c r="N319" s="1846"/>
      <c r="O319" s="1846"/>
      <c r="P319" s="1849"/>
      <c r="Q319" s="1852"/>
      <c r="R319" s="1840"/>
      <c r="S319" s="1840"/>
      <c r="T319" s="1840"/>
      <c r="U319" s="1840"/>
      <c r="V319" s="1837"/>
      <c r="X319" s="1202" t="s">
        <v>384</v>
      </c>
      <c r="Y319" s="1203"/>
      <c r="Z319" s="1204"/>
      <c r="AA319" s="1204"/>
      <c r="AB319" s="1204"/>
      <c r="AC319" s="1204"/>
      <c r="AD319" s="1204"/>
      <c r="AE319" s="1204"/>
      <c r="AF319" s="1204"/>
      <c r="AG319" s="1204"/>
      <c r="AH319" s="1205"/>
      <c r="AI319" s="1843"/>
      <c r="AJ319" s="1846"/>
      <c r="AK319" s="1846"/>
      <c r="AL319" s="1849"/>
      <c r="AM319" s="1852"/>
      <c r="AN319" s="1840"/>
      <c r="AO319" s="1840"/>
      <c r="AP319" s="1840"/>
      <c r="AQ319" s="1840"/>
      <c r="AR319" s="1837"/>
      <c r="AT319" s="1202" t="s">
        <v>384</v>
      </c>
      <c r="AU319" s="1203"/>
      <c r="AV319" s="1204"/>
      <c r="AW319" s="1204"/>
      <c r="AX319" s="1204"/>
      <c r="AY319" s="1204"/>
      <c r="AZ319" s="1204"/>
      <c r="BA319" s="1204"/>
      <c r="BB319" s="1204"/>
      <c r="BC319" s="1204"/>
      <c r="BD319" s="1205"/>
      <c r="BE319" s="1843"/>
      <c r="BF319" s="1846"/>
      <c r="BG319" s="1846"/>
      <c r="BH319" s="1849"/>
      <c r="BI319" s="1852"/>
      <c r="BJ319" s="1840"/>
      <c r="BK319" s="1840"/>
      <c r="BL319" s="1840"/>
      <c r="BM319" s="1840"/>
      <c r="BN319" s="1837"/>
    </row>
    <row r="320" spans="2:66" ht="13.5">
      <c r="B320" s="1206" t="s">
        <v>385</v>
      </c>
      <c r="C320" s="1207"/>
      <c r="D320" s="1208"/>
      <c r="E320" s="1208"/>
      <c r="F320" s="1208"/>
      <c r="G320" s="1208"/>
      <c r="H320" s="1208"/>
      <c r="I320" s="1208"/>
      <c r="J320" s="1208"/>
      <c r="K320" s="1208"/>
      <c r="L320" s="1209"/>
      <c r="M320" s="1843"/>
      <c r="N320" s="1846"/>
      <c r="O320" s="1846"/>
      <c r="P320" s="1849"/>
      <c r="Q320" s="1852"/>
      <c r="R320" s="1840"/>
      <c r="S320" s="1840"/>
      <c r="T320" s="1840"/>
      <c r="U320" s="1840"/>
      <c r="V320" s="1837"/>
      <c r="X320" s="1206" t="s">
        <v>385</v>
      </c>
      <c r="Y320" s="1207"/>
      <c r="Z320" s="1208"/>
      <c r="AA320" s="1208"/>
      <c r="AB320" s="1208"/>
      <c r="AC320" s="1208"/>
      <c r="AD320" s="1208"/>
      <c r="AE320" s="1208"/>
      <c r="AF320" s="1208"/>
      <c r="AG320" s="1208"/>
      <c r="AH320" s="1209"/>
      <c r="AI320" s="1843"/>
      <c r="AJ320" s="1846"/>
      <c r="AK320" s="1846"/>
      <c r="AL320" s="1849"/>
      <c r="AM320" s="1852"/>
      <c r="AN320" s="1840"/>
      <c r="AO320" s="1840"/>
      <c r="AP320" s="1840"/>
      <c r="AQ320" s="1840"/>
      <c r="AR320" s="1837"/>
      <c r="AT320" s="1206" t="s">
        <v>385</v>
      </c>
      <c r="AU320" s="1207"/>
      <c r="AV320" s="1208"/>
      <c r="AW320" s="1208"/>
      <c r="AX320" s="1208"/>
      <c r="AY320" s="1208"/>
      <c r="AZ320" s="1208"/>
      <c r="BA320" s="1208"/>
      <c r="BB320" s="1208"/>
      <c r="BC320" s="1208"/>
      <c r="BD320" s="1209"/>
      <c r="BE320" s="1843"/>
      <c r="BF320" s="1846"/>
      <c r="BG320" s="1846"/>
      <c r="BH320" s="1849"/>
      <c r="BI320" s="1852"/>
      <c r="BJ320" s="1840"/>
      <c r="BK320" s="1840"/>
      <c r="BL320" s="1840"/>
      <c r="BM320" s="1840"/>
      <c r="BN320" s="1837"/>
    </row>
    <row r="321" spans="2:66" ht="13.5">
      <c r="B321" s="1215" t="s">
        <v>388</v>
      </c>
      <c r="C321" s="1223" t="str">
        <f>IF(OR(C318&gt;0,C319&gt;0,C320&gt;0),1,"")</f>
        <v/>
      </c>
      <c r="D321" s="1224" t="str">
        <f>IF(OR(D318&gt;0,D319&gt;0,D320&gt;0),1,"")</f>
        <v/>
      </c>
      <c r="E321" s="1224" t="str">
        <f t="shared" ref="E321:L321" si="162">IF(OR(E318&gt;0,E319&gt;0,E320&gt;0),1,"")</f>
        <v/>
      </c>
      <c r="F321" s="1224" t="str">
        <f t="shared" si="162"/>
        <v/>
      </c>
      <c r="G321" s="1224" t="str">
        <f t="shared" si="162"/>
        <v/>
      </c>
      <c r="H321" s="1224" t="str">
        <f t="shared" si="162"/>
        <v/>
      </c>
      <c r="I321" s="1224" t="str">
        <f t="shared" si="162"/>
        <v/>
      </c>
      <c r="J321" s="1224" t="str">
        <f t="shared" si="162"/>
        <v/>
      </c>
      <c r="K321" s="1224" t="str">
        <f t="shared" si="162"/>
        <v/>
      </c>
      <c r="L321" s="1225" t="str">
        <f t="shared" si="162"/>
        <v/>
      </c>
      <c r="M321" s="1844"/>
      <c r="N321" s="1847"/>
      <c r="O321" s="1847"/>
      <c r="P321" s="1850"/>
      <c r="Q321" s="1853"/>
      <c r="R321" s="1841"/>
      <c r="S321" s="1841"/>
      <c r="T321" s="1841"/>
      <c r="U321" s="1841"/>
      <c r="V321" s="1838"/>
      <c r="X321" s="1215" t="s">
        <v>388</v>
      </c>
      <c r="Y321" s="1223" t="str">
        <f>IF(OR(Y318&gt;0,Y319&gt;0,Y320&gt;0),1,"")</f>
        <v/>
      </c>
      <c r="Z321" s="1224" t="str">
        <f>IF(OR(Z318&gt;0,Z319&gt;0,Z320&gt;0),1,"")</f>
        <v/>
      </c>
      <c r="AA321" s="1224" t="str">
        <f t="shared" ref="AA321:AH321" si="163">IF(OR(AA318&gt;0,AA319&gt;0,AA320&gt;0),1,"")</f>
        <v/>
      </c>
      <c r="AB321" s="1224" t="str">
        <f t="shared" si="163"/>
        <v/>
      </c>
      <c r="AC321" s="1224" t="str">
        <f t="shared" si="163"/>
        <v/>
      </c>
      <c r="AD321" s="1224" t="str">
        <f t="shared" si="163"/>
        <v/>
      </c>
      <c r="AE321" s="1224" t="str">
        <f t="shared" si="163"/>
        <v/>
      </c>
      <c r="AF321" s="1224" t="str">
        <f t="shared" si="163"/>
        <v/>
      </c>
      <c r="AG321" s="1224" t="str">
        <f t="shared" si="163"/>
        <v/>
      </c>
      <c r="AH321" s="1225" t="str">
        <f t="shared" si="163"/>
        <v/>
      </c>
      <c r="AI321" s="1844"/>
      <c r="AJ321" s="1847"/>
      <c r="AK321" s="1847"/>
      <c r="AL321" s="1850"/>
      <c r="AM321" s="1853"/>
      <c r="AN321" s="1841"/>
      <c r="AO321" s="1841"/>
      <c r="AP321" s="1841"/>
      <c r="AQ321" s="1841"/>
      <c r="AR321" s="1838"/>
      <c r="AT321" s="1215" t="s">
        <v>388</v>
      </c>
      <c r="AU321" s="1223" t="str">
        <f>IF(OR(AU318&gt;0,AU319&gt;0,AU320&gt;0),1,"")</f>
        <v/>
      </c>
      <c r="AV321" s="1224" t="str">
        <f>IF(OR(AV318&gt;0,AV319&gt;0,AV320&gt;0),1,"")</f>
        <v/>
      </c>
      <c r="AW321" s="1224" t="str">
        <f t="shared" ref="AW321:BD321" si="164">IF(OR(AW318&gt;0,AW319&gt;0,AW320&gt;0),1,"")</f>
        <v/>
      </c>
      <c r="AX321" s="1224" t="str">
        <f t="shared" si="164"/>
        <v/>
      </c>
      <c r="AY321" s="1224" t="str">
        <f t="shared" si="164"/>
        <v/>
      </c>
      <c r="AZ321" s="1224" t="str">
        <f t="shared" si="164"/>
        <v/>
      </c>
      <c r="BA321" s="1224" t="str">
        <f t="shared" si="164"/>
        <v/>
      </c>
      <c r="BB321" s="1224" t="str">
        <f t="shared" si="164"/>
        <v/>
      </c>
      <c r="BC321" s="1224" t="str">
        <f t="shared" si="164"/>
        <v/>
      </c>
      <c r="BD321" s="1225" t="str">
        <f t="shared" si="164"/>
        <v/>
      </c>
      <c r="BE321" s="1844"/>
      <c r="BF321" s="1847"/>
      <c r="BG321" s="1847"/>
      <c r="BH321" s="1850"/>
      <c r="BI321" s="1853"/>
      <c r="BJ321" s="1841"/>
      <c r="BK321" s="1841"/>
      <c r="BL321" s="1841"/>
      <c r="BM321" s="1841"/>
      <c r="BN321" s="1838"/>
    </row>
    <row r="323" spans="2:66">
      <c r="B323" s="1175"/>
      <c r="C323" s="1176" t="s">
        <v>405</v>
      </c>
      <c r="D323" s="1217" t="s">
        <v>396</v>
      </c>
      <c r="E323" s="1587"/>
      <c r="F323" s="1177" t="s">
        <v>373</v>
      </c>
      <c r="G323" s="1178"/>
      <c r="H323" s="1167"/>
      <c r="I323" s="1167"/>
      <c r="J323" s="1179" t="s">
        <v>374</v>
      </c>
      <c r="K323" s="1165"/>
      <c r="L323" s="1165"/>
      <c r="M323" s="1165"/>
      <c r="N323" s="1165"/>
      <c r="O323" s="1165"/>
      <c r="P323" s="1165"/>
      <c r="Q323" s="1165"/>
      <c r="R323" s="1165"/>
      <c r="S323" s="1165"/>
      <c r="T323" s="1165"/>
      <c r="U323" s="1165"/>
      <c r="V323" s="1165"/>
      <c r="X323" s="1175"/>
      <c r="Y323" s="1176" t="s">
        <v>405</v>
      </c>
      <c r="Z323" s="1217" t="s">
        <v>413</v>
      </c>
      <c r="AA323" s="1177"/>
      <c r="AB323" s="1177" t="s">
        <v>373</v>
      </c>
      <c r="AC323" s="1178"/>
      <c r="AD323" s="1167"/>
      <c r="AE323" s="1167"/>
      <c r="AF323" s="1179" t="s">
        <v>374</v>
      </c>
      <c r="AG323" s="1165"/>
      <c r="AH323" s="1165"/>
      <c r="AI323" s="1165"/>
      <c r="AJ323" s="1165"/>
      <c r="AK323" s="1165"/>
      <c r="AL323" s="1165"/>
      <c r="AM323" s="1165"/>
      <c r="AN323" s="1165"/>
      <c r="AO323" s="1165"/>
      <c r="AP323" s="1165"/>
      <c r="AQ323" s="1165"/>
      <c r="AR323" s="1165"/>
      <c r="AT323" s="1175"/>
      <c r="AU323" s="1176" t="s">
        <v>405</v>
      </c>
      <c r="AV323" s="1217" t="s">
        <v>410</v>
      </c>
      <c r="AW323" s="1177"/>
      <c r="AX323" s="1177" t="s">
        <v>373</v>
      </c>
      <c r="AY323" s="1178"/>
      <c r="AZ323" s="1167"/>
      <c r="BA323" s="1167"/>
      <c r="BB323" s="1179" t="s">
        <v>374</v>
      </c>
      <c r="BC323" s="1165"/>
      <c r="BD323" s="1165"/>
      <c r="BE323" s="1165"/>
      <c r="BF323" s="1165"/>
      <c r="BG323" s="1165"/>
      <c r="BH323" s="1165"/>
      <c r="BI323" s="1165"/>
      <c r="BJ323" s="1165"/>
      <c r="BK323" s="1165"/>
      <c r="BL323" s="1165"/>
      <c r="BM323" s="1165"/>
      <c r="BN323" s="1165"/>
    </row>
    <row r="324" spans="2:66" ht="15.75" customHeight="1">
      <c r="B324" s="1180" t="s">
        <v>375</v>
      </c>
      <c r="C324" s="1181"/>
      <c r="D324" s="1220" t="e">
        <f>IF(J324="",#N/A,SUM(C330:L330,C335:L335,C340:L340,C345:L345,C350:L350))</f>
        <v>#N/A</v>
      </c>
      <c r="E324" s="1183" t="s">
        <v>376</v>
      </c>
      <c r="F324" s="1184" t="s">
        <v>377</v>
      </c>
      <c r="G324" s="1181"/>
      <c r="H324" s="1182" t="s">
        <v>378</v>
      </c>
      <c r="I324" s="1181"/>
      <c r="J324" s="1220" t="str">
        <f>IF(AND(Q326="",Q331="",Q336="",Q341="",Q346=""),"",SUM(Q326:Q349))</f>
        <v/>
      </c>
      <c r="K324" s="1183" t="s">
        <v>379</v>
      </c>
      <c r="L324" s="1185" t="s">
        <v>377</v>
      </c>
      <c r="M324" s="1866" t="s">
        <v>380</v>
      </c>
      <c r="N324" s="1867"/>
      <c r="O324" s="1867"/>
      <c r="P324" s="1867"/>
      <c r="Q324" s="1868"/>
      <c r="R324" s="1869" t="s">
        <v>389</v>
      </c>
      <c r="S324" s="1869" t="s">
        <v>390</v>
      </c>
      <c r="T324" s="1869" t="s">
        <v>391</v>
      </c>
      <c r="U324" s="1869" t="s">
        <v>392</v>
      </c>
      <c r="V324" s="1871" t="s">
        <v>393</v>
      </c>
      <c r="X324" s="1180" t="s">
        <v>375</v>
      </c>
      <c r="Y324" s="1181"/>
      <c r="Z324" s="1220" t="e">
        <f>IF(AF324="",#N/A,SUM(Y330:AH330,Y335:AH335,Y340:AH340,Y345:AH345,Y350:AH350))</f>
        <v>#N/A</v>
      </c>
      <c r="AA324" s="1183" t="s">
        <v>376</v>
      </c>
      <c r="AB324" s="1184" t="s">
        <v>377</v>
      </c>
      <c r="AC324" s="1181"/>
      <c r="AD324" s="1182" t="s">
        <v>378</v>
      </c>
      <c r="AE324" s="1181"/>
      <c r="AF324" s="1220" t="str">
        <f>IF(AND(AM326="",AM331="",AM336="",AM341="",AM346=""),"",SUM(AM326:AM349))</f>
        <v/>
      </c>
      <c r="AG324" s="1183" t="s">
        <v>379</v>
      </c>
      <c r="AH324" s="1185" t="s">
        <v>377</v>
      </c>
      <c r="AI324" s="1866" t="s">
        <v>380</v>
      </c>
      <c r="AJ324" s="1867"/>
      <c r="AK324" s="1867"/>
      <c r="AL324" s="1867"/>
      <c r="AM324" s="1868"/>
      <c r="AN324" s="1869" t="s">
        <v>389</v>
      </c>
      <c r="AO324" s="1869" t="s">
        <v>390</v>
      </c>
      <c r="AP324" s="1869" t="s">
        <v>391</v>
      </c>
      <c r="AQ324" s="1869" t="s">
        <v>392</v>
      </c>
      <c r="AR324" s="1871" t="s">
        <v>393</v>
      </c>
      <c r="AT324" s="1180" t="s">
        <v>375</v>
      </c>
      <c r="AU324" s="1181"/>
      <c r="AV324" s="1220" t="e">
        <f>IF(BB324="",#N/A,SUM(AU330:BD330,AU335:BD335,AU340:BD340,AU345:BD345,AU350:BD350))</f>
        <v>#N/A</v>
      </c>
      <c r="AW324" s="1183" t="s">
        <v>376</v>
      </c>
      <c r="AX324" s="1184" t="s">
        <v>377</v>
      </c>
      <c r="AY324" s="1181"/>
      <c r="AZ324" s="1182" t="s">
        <v>378</v>
      </c>
      <c r="BA324" s="1181"/>
      <c r="BB324" s="1220" t="str">
        <f>IF(AND(BI326="",BI331="",BI336="",BI341="",BI346=""),"",SUM(BI326:BI349))</f>
        <v/>
      </c>
      <c r="BC324" s="1183" t="s">
        <v>379</v>
      </c>
      <c r="BD324" s="1185" t="s">
        <v>377</v>
      </c>
      <c r="BE324" s="1866" t="s">
        <v>380</v>
      </c>
      <c r="BF324" s="1867"/>
      <c r="BG324" s="1867"/>
      <c r="BH324" s="1867"/>
      <c r="BI324" s="1868"/>
      <c r="BJ324" s="1869" t="s">
        <v>389</v>
      </c>
      <c r="BK324" s="1869" t="s">
        <v>390</v>
      </c>
      <c r="BL324" s="1869" t="s">
        <v>391</v>
      </c>
      <c r="BM324" s="1869" t="s">
        <v>392</v>
      </c>
      <c r="BN324" s="1871" t="s">
        <v>393</v>
      </c>
    </row>
    <row r="325" spans="2:66" ht="13.5">
      <c r="B325" s="1186" t="s">
        <v>381</v>
      </c>
      <c r="C325" s="1187">
        <v>1</v>
      </c>
      <c r="D325" s="1218">
        <v>2</v>
      </c>
      <c r="E325" s="1188">
        <v>3</v>
      </c>
      <c r="F325" s="1188">
        <v>4</v>
      </c>
      <c r="G325" s="1188">
        <v>5</v>
      </c>
      <c r="H325" s="1188">
        <v>6</v>
      </c>
      <c r="I325" s="1218">
        <v>7</v>
      </c>
      <c r="J325" s="1218">
        <v>8</v>
      </c>
      <c r="K325" s="1218">
        <v>9</v>
      </c>
      <c r="L325" s="1219">
        <v>10</v>
      </c>
      <c r="M325" s="1189" t="s">
        <v>382</v>
      </c>
      <c r="N325" s="1190" t="s">
        <v>383</v>
      </c>
      <c r="O325" s="1191" t="s">
        <v>384</v>
      </c>
      <c r="P325" s="1192" t="s">
        <v>385</v>
      </c>
      <c r="Q325" s="1193" t="s">
        <v>386</v>
      </c>
      <c r="R325" s="1870"/>
      <c r="S325" s="1870"/>
      <c r="T325" s="1870"/>
      <c r="U325" s="1870"/>
      <c r="V325" s="1872"/>
      <c r="X325" s="1186" t="s">
        <v>381</v>
      </c>
      <c r="Y325" s="1187">
        <v>1</v>
      </c>
      <c r="Z325" s="1218">
        <v>2</v>
      </c>
      <c r="AA325" s="1188">
        <v>3</v>
      </c>
      <c r="AB325" s="1188">
        <v>4</v>
      </c>
      <c r="AC325" s="1188">
        <v>5</v>
      </c>
      <c r="AD325" s="1188">
        <v>6</v>
      </c>
      <c r="AE325" s="1218">
        <v>7</v>
      </c>
      <c r="AF325" s="1218">
        <v>8</v>
      </c>
      <c r="AG325" s="1218">
        <v>9</v>
      </c>
      <c r="AH325" s="1219">
        <v>10</v>
      </c>
      <c r="AI325" s="1189" t="s">
        <v>382</v>
      </c>
      <c r="AJ325" s="1190" t="s">
        <v>383</v>
      </c>
      <c r="AK325" s="1191" t="s">
        <v>384</v>
      </c>
      <c r="AL325" s="1192" t="s">
        <v>385</v>
      </c>
      <c r="AM325" s="1193" t="s">
        <v>386</v>
      </c>
      <c r="AN325" s="1870"/>
      <c r="AO325" s="1870"/>
      <c r="AP325" s="1870"/>
      <c r="AQ325" s="1870"/>
      <c r="AR325" s="1872"/>
      <c r="AT325" s="1186" t="s">
        <v>381</v>
      </c>
      <c r="AU325" s="1187">
        <v>1</v>
      </c>
      <c r="AV325" s="1218">
        <v>2</v>
      </c>
      <c r="AW325" s="1188">
        <v>3</v>
      </c>
      <c r="AX325" s="1188">
        <v>4</v>
      </c>
      <c r="AY325" s="1188">
        <v>5</v>
      </c>
      <c r="AZ325" s="1188">
        <v>6</v>
      </c>
      <c r="BA325" s="1218">
        <v>7</v>
      </c>
      <c r="BB325" s="1218">
        <v>8</v>
      </c>
      <c r="BC325" s="1218">
        <v>9</v>
      </c>
      <c r="BD325" s="1219">
        <v>10</v>
      </c>
      <c r="BE325" s="1189" t="s">
        <v>382</v>
      </c>
      <c r="BF325" s="1190" t="s">
        <v>383</v>
      </c>
      <c r="BG325" s="1191" t="s">
        <v>384</v>
      </c>
      <c r="BH325" s="1192" t="s">
        <v>385</v>
      </c>
      <c r="BI325" s="1193" t="s">
        <v>386</v>
      </c>
      <c r="BJ325" s="1870"/>
      <c r="BK325" s="1870"/>
      <c r="BL325" s="1870"/>
      <c r="BM325" s="1870"/>
      <c r="BN325" s="1872"/>
    </row>
    <row r="326" spans="2:66" ht="14.25" customHeight="1">
      <c r="B326" s="1194" t="s">
        <v>387</v>
      </c>
      <c r="C326" s="1195"/>
      <c r="D326" s="1196"/>
      <c r="E326" s="1196"/>
      <c r="F326" s="1196"/>
      <c r="G326" s="1196"/>
      <c r="H326" s="1196"/>
      <c r="I326" s="1196"/>
      <c r="J326" s="1196"/>
      <c r="K326" s="1196"/>
      <c r="L326" s="1197"/>
      <c r="M326" s="1858">
        <f>SUM(C326:L326)</f>
        <v>0</v>
      </c>
      <c r="N326" s="1860">
        <f>SUM(C327:L327)</f>
        <v>0</v>
      </c>
      <c r="O326" s="1860">
        <f>SUM(C328:L328)</f>
        <v>0</v>
      </c>
      <c r="P326" s="1862">
        <f>SUM(C329:L329)</f>
        <v>0</v>
      </c>
      <c r="Q326" s="1854" t="str">
        <f>IF(G323="","",SUM(N326:P330))</f>
        <v/>
      </c>
      <c r="R326" s="1856"/>
      <c r="S326" s="1856"/>
      <c r="T326" s="1856"/>
      <c r="U326" s="1856"/>
      <c r="V326" s="1864" t="s">
        <v>394</v>
      </c>
      <c r="X326" s="1194" t="s">
        <v>387</v>
      </c>
      <c r="Y326" s="1195"/>
      <c r="Z326" s="1196"/>
      <c r="AA326" s="1196"/>
      <c r="AB326" s="1196"/>
      <c r="AC326" s="1196"/>
      <c r="AD326" s="1196"/>
      <c r="AE326" s="1196"/>
      <c r="AF326" s="1196"/>
      <c r="AG326" s="1196"/>
      <c r="AH326" s="1197"/>
      <c r="AI326" s="1858">
        <f>SUM(Y326:AH326)</f>
        <v>0</v>
      </c>
      <c r="AJ326" s="1860">
        <f>SUM(Y327:AH327)</f>
        <v>0</v>
      </c>
      <c r="AK326" s="1860">
        <f>SUM(Y328:AH328)</f>
        <v>0</v>
      </c>
      <c r="AL326" s="1862">
        <f>SUM(Y329:AH329)</f>
        <v>0</v>
      </c>
      <c r="AM326" s="1854" t="str">
        <f>IF(AC323="","",SUM(AJ326:AL330))</f>
        <v/>
      </c>
      <c r="AN326" s="1856"/>
      <c r="AO326" s="1856"/>
      <c r="AP326" s="1856"/>
      <c r="AQ326" s="1856"/>
      <c r="AR326" s="1864" t="s">
        <v>394</v>
      </c>
      <c r="AT326" s="1194" t="s">
        <v>387</v>
      </c>
      <c r="AU326" s="1195"/>
      <c r="AV326" s="1196"/>
      <c r="AW326" s="1196"/>
      <c r="AX326" s="1196"/>
      <c r="AY326" s="1196"/>
      <c r="AZ326" s="1196"/>
      <c r="BA326" s="1196"/>
      <c r="BB326" s="1196"/>
      <c r="BC326" s="1196"/>
      <c r="BD326" s="1197"/>
      <c r="BE326" s="1858">
        <f>SUM(AU326:BD326)</f>
        <v>0</v>
      </c>
      <c r="BF326" s="1860">
        <f>SUM(AU327:BD327)</f>
        <v>0</v>
      </c>
      <c r="BG326" s="1860">
        <f>SUM(AU328:BD328)</f>
        <v>0</v>
      </c>
      <c r="BH326" s="1862">
        <f>SUM(AU329:BD329)</f>
        <v>0</v>
      </c>
      <c r="BI326" s="1854" t="str">
        <f>IF(AY323="","",SUM(BF326:BH330))</f>
        <v/>
      </c>
      <c r="BJ326" s="1856"/>
      <c r="BK326" s="1856"/>
      <c r="BL326" s="1856"/>
      <c r="BM326" s="1856"/>
      <c r="BN326" s="1864" t="s">
        <v>394</v>
      </c>
    </row>
    <row r="327" spans="2:66" ht="13.5">
      <c r="B327" s="1198" t="s">
        <v>383</v>
      </c>
      <c r="C327" s="1199"/>
      <c r="D327" s="1200"/>
      <c r="E327" s="1200"/>
      <c r="F327" s="1200"/>
      <c r="G327" s="1200"/>
      <c r="H327" s="1200"/>
      <c r="I327" s="1200"/>
      <c r="J327" s="1200"/>
      <c r="K327" s="1200"/>
      <c r="L327" s="1201"/>
      <c r="M327" s="1843"/>
      <c r="N327" s="1846"/>
      <c r="O327" s="1846"/>
      <c r="P327" s="1849"/>
      <c r="Q327" s="1852"/>
      <c r="R327" s="1840"/>
      <c r="S327" s="1840"/>
      <c r="T327" s="1840"/>
      <c r="U327" s="1840"/>
      <c r="V327" s="1837"/>
      <c r="X327" s="1198" t="s">
        <v>383</v>
      </c>
      <c r="Y327" s="1199"/>
      <c r="Z327" s="1200"/>
      <c r="AA327" s="1200"/>
      <c r="AB327" s="1200"/>
      <c r="AC327" s="1200"/>
      <c r="AD327" s="1200"/>
      <c r="AE327" s="1200"/>
      <c r="AF327" s="1200"/>
      <c r="AG327" s="1200"/>
      <c r="AH327" s="1201"/>
      <c r="AI327" s="1843"/>
      <c r="AJ327" s="1846"/>
      <c r="AK327" s="1846"/>
      <c r="AL327" s="1849"/>
      <c r="AM327" s="1852"/>
      <c r="AN327" s="1840"/>
      <c r="AO327" s="1840"/>
      <c r="AP327" s="1840"/>
      <c r="AQ327" s="1840"/>
      <c r="AR327" s="1837"/>
      <c r="AT327" s="1198" t="s">
        <v>383</v>
      </c>
      <c r="AU327" s="1199"/>
      <c r="AV327" s="1200"/>
      <c r="AW327" s="1200"/>
      <c r="AX327" s="1200"/>
      <c r="AY327" s="1200"/>
      <c r="AZ327" s="1200"/>
      <c r="BA327" s="1200"/>
      <c r="BB327" s="1200"/>
      <c r="BC327" s="1200"/>
      <c r="BD327" s="1201"/>
      <c r="BE327" s="1843"/>
      <c r="BF327" s="1846"/>
      <c r="BG327" s="1846"/>
      <c r="BH327" s="1849"/>
      <c r="BI327" s="1852"/>
      <c r="BJ327" s="1840"/>
      <c r="BK327" s="1840"/>
      <c r="BL327" s="1840"/>
      <c r="BM327" s="1840"/>
      <c r="BN327" s="1837"/>
    </row>
    <row r="328" spans="2:66" ht="13.5">
      <c r="B328" s="1202" t="s">
        <v>384</v>
      </c>
      <c r="C328" s="1203"/>
      <c r="D328" s="1204"/>
      <c r="E328" s="1204"/>
      <c r="F328" s="1204"/>
      <c r="G328" s="1204"/>
      <c r="H328" s="1204"/>
      <c r="I328" s="1204"/>
      <c r="J328" s="1204"/>
      <c r="K328" s="1204"/>
      <c r="L328" s="1205"/>
      <c r="M328" s="1843"/>
      <c r="N328" s="1846"/>
      <c r="O328" s="1846"/>
      <c r="P328" s="1849"/>
      <c r="Q328" s="1852"/>
      <c r="R328" s="1840"/>
      <c r="S328" s="1840"/>
      <c r="T328" s="1840"/>
      <c r="U328" s="1840"/>
      <c r="V328" s="1837"/>
      <c r="X328" s="1202" t="s">
        <v>384</v>
      </c>
      <c r="Y328" s="1203"/>
      <c r="Z328" s="1204"/>
      <c r="AA328" s="1204"/>
      <c r="AB328" s="1204"/>
      <c r="AC328" s="1204"/>
      <c r="AD328" s="1204"/>
      <c r="AE328" s="1204"/>
      <c r="AF328" s="1204"/>
      <c r="AG328" s="1204"/>
      <c r="AH328" s="1205"/>
      <c r="AI328" s="1843"/>
      <c r="AJ328" s="1846"/>
      <c r="AK328" s="1846"/>
      <c r="AL328" s="1849"/>
      <c r="AM328" s="1852"/>
      <c r="AN328" s="1840"/>
      <c r="AO328" s="1840"/>
      <c r="AP328" s="1840"/>
      <c r="AQ328" s="1840"/>
      <c r="AR328" s="1837"/>
      <c r="AT328" s="1202" t="s">
        <v>384</v>
      </c>
      <c r="AU328" s="1203"/>
      <c r="AV328" s="1204"/>
      <c r="AW328" s="1204"/>
      <c r="AX328" s="1204"/>
      <c r="AY328" s="1204"/>
      <c r="AZ328" s="1204"/>
      <c r="BA328" s="1204"/>
      <c r="BB328" s="1204"/>
      <c r="BC328" s="1204"/>
      <c r="BD328" s="1205"/>
      <c r="BE328" s="1843"/>
      <c r="BF328" s="1846"/>
      <c r="BG328" s="1846"/>
      <c r="BH328" s="1849"/>
      <c r="BI328" s="1852"/>
      <c r="BJ328" s="1840"/>
      <c r="BK328" s="1840"/>
      <c r="BL328" s="1840"/>
      <c r="BM328" s="1840"/>
      <c r="BN328" s="1837"/>
    </row>
    <row r="329" spans="2:66" ht="13.5">
      <c r="B329" s="1206" t="s">
        <v>385</v>
      </c>
      <c r="C329" s="1207"/>
      <c r="D329" s="1208"/>
      <c r="E329" s="1208"/>
      <c r="F329" s="1208"/>
      <c r="G329" s="1208"/>
      <c r="H329" s="1208"/>
      <c r="I329" s="1208"/>
      <c r="J329" s="1208"/>
      <c r="K329" s="1208"/>
      <c r="L329" s="1209"/>
      <c r="M329" s="1843"/>
      <c r="N329" s="1846"/>
      <c r="O329" s="1846"/>
      <c r="P329" s="1849"/>
      <c r="Q329" s="1852"/>
      <c r="R329" s="1840"/>
      <c r="S329" s="1840"/>
      <c r="T329" s="1840"/>
      <c r="U329" s="1840"/>
      <c r="V329" s="1837"/>
      <c r="X329" s="1206" t="s">
        <v>385</v>
      </c>
      <c r="Y329" s="1207"/>
      <c r="Z329" s="1208"/>
      <c r="AA329" s="1208"/>
      <c r="AB329" s="1208"/>
      <c r="AC329" s="1208"/>
      <c r="AD329" s="1208"/>
      <c r="AE329" s="1208"/>
      <c r="AF329" s="1208"/>
      <c r="AG329" s="1208"/>
      <c r="AH329" s="1209"/>
      <c r="AI329" s="1843"/>
      <c r="AJ329" s="1846"/>
      <c r="AK329" s="1846"/>
      <c r="AL329" s="1849"/>
      <c r="AM329" s="1852"/>
      <c r="AN329" s="1840"/>
      <c r="AO329" s="1840"/>
      <c r="AP329" s="1840"/>
      <c r="AQ329" s="1840"/>
      <c r="AR329" s="1837"/>
      <c r="AT329" s="1206" t="s">
        <v>385</v>
      </c>
      <c r="AU329" s="1207"/>
      <c r="AV329" s="1208"/>
      <c r="AW329" s="1208"/>
      <c r="AX329" s="1208"/>
      <c r="AY329" s="1208"/>
      <c r="AZ329" s="1208"/>
      <c r="BA329" s="1208"/>
      <c r="BB329" s="1208"/>
      <c r="BC329" s="1208"/>
      <c r="BD329" s="1209"/>
      <c r="BE329" s="1843"/>
      <c r="BF329" s="1846"/>
      <c r="BG329" s="1846"/>
      <c r="BH329" s="1849"/>
      <c r="BI329" s="1852"/>
      <c r="BJ329" s="1840"/>
      <c r="BK329" s="1840"/>
      <c r="BL329" s="1840"/>
      <c r="BM329" s="1840"/>
      <c r="BN329" s="1837"/>
    </row>
    <row r="330" spans="2:66" ht="14" thickBot="1">
      <c r="B330" s="1210" t="s">
        <v>388</v>
      </c>
      <c r="C330" s="1221" t="str">
        <f>IF(OR(C327&gt;0,C328&gt;0,C329&gt;0),1,"")</f>
        <v/>
      </c>
      <c r="D330" s="1222" t="str">
        <f>IF(OR(D327&gt;0,D328&gt;0,D329&gt;0),1,"")</f>
        <v/>
      </c>
      <c r="E330" s="1222" t="str">
        <f t="shared" ref="E330:L330" si="165">IF(OR(E327&gt;0,E328&gt;0,E329&gt;0),1,"")</f>
        <v/>
      </c>
      <c r="F330" s="1222" t="str">
        <f t="shared" si="165"/>
        <v/>
      </c>
      <c r="G330" s="1222" t="str">
        <f t="shared" si="165"/>
        <v/>
      </c>
      <c r="H330" s="1222" t="str">
        <f t="shared" si="165"/>
        <v/>
      </c>
      <c r="I330" s="1222" t="str">
        <f t="shared" si="165"/>
        <v/>
      </c>
      <c r="J330" s="1222" t="str">
        <f t="shared" si="165"/>
        <v/>
      </c>
      <c r="K330" s="1222" t="str">
        <f t="shared" si="165"/>
        <v/>
      </c>
      <c r="L330" s="1222" t="str">
        <f t="shared" si="165"/>
        <v/>
      </c>
      <c r="M330" s="1859"/>
      <c r="N330" s="1861"/>
      <c r="O330" s="1861"/>
      <c r="P330" s="1863"/>
      <c r="Q330" s="1855"/>
      <c r="R330" s="1857"/>
      <c r="S330" s="1857"/>
      <c r="T330" s="1857"/>
      <c r="U330" s="1857"/>
      <c r="V330" s="1865"/>
      <c r="X330" s="1210" t="s">
        <v>388</v>
      </c>
      <c r="Y330" s="1221" t="str">
        <f>IF(OR(Y327&gt;0,Y328&gt;0,Y329&gt;0),1,"")</f>
        <v/>
      </c>
      <c r="Z330" s="1222" t="str">
        <f>IF(OR(Z327&gt;0,Z328&gt;0,Z329&gt;0),1,"")</f>
        <v/>
      </c>
      <c r="AA330" s="1222" t="str">
        <f t="shared" ref="AA330:AH330" si="166">IF(OR(AA327&gt;0,AA328&gt;0,AA329&gt;0),1,"")</f>
        <v/>
      </c>
      <c r="AB330" s="1222" t="str">
        <f t="shared" si="166"/>
        <v/>
      </c>
      <c r="AC330" s="1222" t="str">
        <f t="shared" si="166"/>
        <v/>
      </c>
      <c r="AD330" s="1222" t="str">
        <f t="shared" si="166"/>
        <v/>
      </c>
      <c r="AE330" s="1222" t="str">
        <f t="shared" si="166"/>
        <v/>
      </c>
      <c r="AF330" s="1222" t="str">
        <f t="shared" si="166"/>
        <v/>
      </c>
      <c r="AG330" s="1222" t="str">
        <f t="shared" si="166"/>
        <v/>
      </c>
      <c r="AH330" s="1222" t="str">
        <f t="shared" si="166"/>
        <v/>
      </c>
      <c r="AI330" s="1859"/>
      <c r="AJ330" s="1861"/>
      <c r="AK330" s="1861"/>
      <c r="AL330" s="1863"/>
      <c r="AM330" s="1855"/>
      <c r="AN330" s="1857"/>
      <c r="AO330" s="1857"/>
      <c r="AP330" s="1857"/>
      <c r="AQ330" s="1857"/>
      <c r="AR330" s="1865"/>
      <c r="AT330" s="1210" t="s">
        <v>388</v>
      </c>
      <c r="AU330" s="1221" t="str">
        <f>IF(OR(AU327&gt;0,AU328&gt;0,AU329&gt;0),1,"")</f>
        <v/>
      </c>
      <c r="AV330" s="1222" t="str">
        <f>IF(OR(AV327&gt;0,AV328&gt;0,AV329&gt;0),1,"")</f>
        <v/>
      </c>
      <c r="AW330" s="1222" t="str">
        <f t="shared" ref="AW330:BD330" si="167">IF(OR(AW327&gt;0,AW328&gt;0,AW329&gt;0),1,"")</f>
        <v/>
      </c>
      <c r="AX330" s="1222" t="str">
        <f t="shared" si="167"/>
        <v/>
      </c>
      <c r="AY330" s="1222" t="str">
        <f t="shared" si="167"/>
        <v/>
      </c>
      <c r="AZ330" s="1222" t="str">
        <f t="shared" si="167"/>
        <v/>
      </c>
      <c r="BA330" s="1222" t="str">
        <f t="shared" si="167"/>
        <v/>
      </c>
      <c r="BB330" s="1222" t="str">
        <f t="shared" si="167"/>
        <v/>
      </c>
      <c r="BC330" s="1222" t="str">
        <f t="shared" si="167"/>
        <v/>
      </c>
      <c r="BD330" s="1222" t="str">
        <f t="shared" si="167"/>
        <v/>
      </c>
      <c r="BE330" s="1859"/>
      <c r="BF330" s="1861"/>
      <c r="BG330" s="1861"/>
      <c r="BH330" s="1863"/>
      <c r="BI330" s="1855"/>
      <c r="BJ330" s="1857"/>
      <c r="BK330" s="1857"/>
      <c r="BL330" s="1857"/>
      <c r="BM330" s="1857"/>
      <c r="BN330" s="1865"/>
    </row>
    <row r="331" spans="2:66" ht="15" customHeight="1" thickTop="1">
      <c r="B331" s="1211" t="s">
        <v>387</v>
      </c>
      <c r="C331" s="1212"/>
      <c r="D331" s="1213"/>
      <c r="E331" s="1213"/>
      <c r="F331" s="1213"/>
      <c r="G331" s="1213"/>
      <c r="H331" s="1213"/>
      <c r="I331" s="1213"/>
      <c r="J331" s="1213"/>
      <c r="K331" s="1213"/>
      <c r="L331" s="1214"/>
      <c r="M331" s="1858">
        <f>SUM(C331:L331)</f>
        <v>0</v>
      </c>
      <c r="N331" s="1860">
        <f>SUM(C332:L332)</f>
        <v>0</v>
      </c>
      <c r="O331" s="1860">
        <f>SUM(C333:L333)</f>
        <v>0</v>
      </c>
      <c r="P331" s="1862">
        <f>SUM(C334:L334)</f>
        <v>0</v>
      </c>
      <c r="Q331" s="1854" t="str">
        <f>IF(G323="","",SUM(N331:P335))</f>
        <v/>
      </c>
      <c r="R331" s="1856"/>
      <c r="S331" s="1856"/>
      <c r="T331" s="1856"/>
      <c r="U331" s="1856"/>
      <c r="V331" s="1864" t="s">
        <v>395</v>
      </c>
      <c r="X331" s="1211" t="s">
        <v>387</v>
      </c>
      <c r="Y331" s="1212"/>
      <c r="Z331" s="1213"/>
      <c r="AA331" s="1213"/>
      <c r="AB331" s="1213"/>
      <c r="AC331" s="1213"/>
      <c r="AD331" s="1213"/>
      <c r="AE331" s="1213"/>
      <c r="AF331" s="1213"/>
      <c r="AG331" s="1213"/>
      <c r="AH331" s="1214"/>
      <c r="AI331" s="1858">
        <f>SUM(Y331:AH331)</f>
        <v>0</v>
      </c>
      <c r="AJ331" s="1860">
        <f>SUM(Y332:AH332)</f>
        <v>0</v>
      </c>
      <c r="AK331" s="1860">
        <f>SUM(Y333:AH333)</f>
        <v>0</v>
      </c>
      <c r="AL331" s="1862">
        <f>SUM(Y334:AH334)</f>
        <v>0</v>
      </c>
      <c r="AM331" s="1854" t="str">
        <f>IF(AC323="","",SUM(AJ331:AL335))</f>
        <v/>
      </c>
      <c r="AN331" s="1856"/>
      <c r="AO331" s="1856"/>
      <c r="AP331" s="1856"/>
      <c r="AQ331" s="1856"/>
      <c r="AR331" s="1864" t="s">
        <v>395</v>
      </c>
      <c r="AT331" s="1211" t="s">
        <v>387</v>
      </c>
      <c r="AU331" s="1212"/>
      <c r="AV331" s="1213"/>
      <c r="AW331" s="1213"/>
      <c r="AX331" s="1213"/>
      <c r="AY331" s="1213"/>
      <c r="AZ331" s="1213"/>
      <c r="BA331" s="1213"/>
      <c r="BB331" s="1213"/>
      <c r="BC331" s="1213"/>
      <c r="BD331" s="1214"/>
      <c r="BE331" s="1858">
        <f>SUM(AU331:BD331)</f>
        <v>0</v>
      </c>
      <c r="BF331" s="1860">
        <f>SUM(AU332:BD332)</f>
        <v>0</v>
      </c>
      <c r="BG331" s="1860">
        <f>SUM(AU333:BD333)</f>
        <v>0</v>
      </c>
      <c r="BH331" s="1862">
        <f>SUM(AU334:BD334)</f>
        <v>0</v>
      </c>
      <c r="BI331" s="1854" t="str">
        <f>IF(AY323="","",SUM(BF331:BH335))</f>
        <v/>
      </c>
      <c r="BJ331" s="1856"/>
      <c r="BK331" s="1856"/>
      <c r="BL331" s="1856"/>
      <c r="BM331" s="1856"/>
      <c r="BN331" s="1864" t="s">
        <v>395</v>
      </c>
    </row>
    <row r="332" spans="2:66" ht="13.5">
      <c r="B332" s="1198" t="s">
        <v>383</v>
      </c>
      <c r="C332" s="1199"/>
      <c r="D332" s="1200"/>
      <c r="E332" s="1200"/>
      <c r="F332" s="1200"/>
      <c r="G332" s="1200"/>
      <c r="H332" s="1200"/>
      <c r="I332" s="1200"/>
      <c r="J332" s="1200"/>
      <c r="K332" s="1200"/>
      <c r="L332" s="1201"/>
      <c r="M332" s="1843"/>
      <c r="N332" s="1846"/>
      <c r="O332" s="1846"/>
      <c r="P332" s="1849"/>
      <c r="Q332" s="1852"/>
      <c r="R332" s="1840"/>
      <c r="S332" s="1840"/>
      <c r="T332" s="1840"/>
      <c r="U332" s="1840"/>
      <c r="V332" s="1837"/>
      <c r="X332" s="1198" t="s">
        <v>383</v>
      </c>
      <c r="Y332" s="1199"/>
      <c r="Z332" s="1200"/>
      <c r="AA332" s="1200"/>
      <c r="AB332" s="1200"/>
      <c r="AC332" s="1200"/>
      <c r="AD332" s="1200"/>
      <c r="AE332" s="1200"/>
      <c r="AF332" s="1200"/>
      <c r="AG332" s="1200"/>
      <c r="AH332" s="1201"/>
      <c r="AI332" s="1843"/>
      <c r="AJ332" s="1846"/>
      <c r="AK332" s="1846"/>
      <c r="AL332" s="1849"/>
      <c r="AM332" s="1852"/>
      <c r="AN332" s="1840"/>
      <c r="AO332" s="1840"/>
      <c r="AP332" s="1840"/>
      <c r="AQ332" s="1840"/>
      <c r="AR332" s="1837"/>
      <c r="AT332" s="1198" t="s">
        <v>383</v>
      </c>
      <c r="AU332" s="1199"/>
      <c r="AV332" s="1200"/>
      <c r="AW332" s="1200"/>
      <c r="AX332" s="1200"/>
      <c r="AY332" s="1200"/>
      <c r="AZ332" s="1200"/>
      <c r="BA332" s="1200"/>
      <c r="BB332" s="1200"/>
      <c r="BC332" s="1200"/>
      <c r="BD332" s="1201"/>
      <c r="BE332" s="1843"/>
      <c r="BF332" s="1846"/>
      <c r="BG332" s="1846"/>
      <c r="BH332" s="1849"/>
      <c r="BI332" s="1852"/>
      <c r="BJ332" s="1840"/>
      <c r="BK332" s="1840"/>
      <c r="BL332" s="1840"/>
      <c r="BM332" s="1840"/>
      <c r="BN332" s="1837"/>
    </row>
    <row r="333" spans="2:66" ht="13.5">
      <c r="B333" s="1202" t="s">
        <v>384</v>
      </c>
      <c r="C333" s="1203"/>
      <c r="D333" s="1204"/>
      <c r="E333" s="1204"/>
      <c r="F333" s="1204"/>
      <c r="G333" s="1204"/>
      <c r="H333" s="1204"/>
      <c r="I333" s="1204"/>
      <c r="J333" s="1204"/>
      <c r="K333" s="1204"/>
      <c r="L333" s="1205"/>
      <c r="M333" s="1843"/>
      <c r="N333" s="1846"/>
      <c r="O333" s="1846"/>
      <c r="P333" s="1849"/>
      <c r="Q333" s="1852"/>
      <c r="R333" s="1840"/>
      <c r="S333" s="1840"/>
      <c r="T333" s="1840"/>
      <c r="U333" s="1840"/>
      <c r="V333" s="1837"/>
      <c r="X333" s="1202" t="s">
        <v>384</v>
      </c>
      <c r="Y333" s="1203"/>
      <c r="Z333" s="1204"/>
      <c r="AA333" s="1204"/>
      <c r="AB333" s="1204"/>
      <c r="AC333" s="1204"/>
      <c r="AD333" s="1204"/>
      <c r="AE333" s="1204"/>
      <c r="AF333" s="1204"/>
      <c r="AG333" s="1204"/>
      <c r="AH333" s="1205"/>
      <c r="AI333" s="1843"/>
      <c r="AJ333" s="1846"/>
      <c r="AK333" s="1846"/>
      <c r="AL333" s="1849"/>
      <c r="AM333" s="1852"/>
      <c r="AN333" s="1840"/>
      <c r="AO333" s="1840"/>
      <c r="AP333" s="1840"/>
      <c r="AQ333" s="1840"/>
      <c r="AR333" s="1837"/>
      <c r="AT333" s="1202" t="s">
        <v>384</v>
      </c>
      <c r="AU333" s="1203"/>
      <c r="AV333" s="1204"/>
      <c r="AW333" s="1204"/>
      <c r="AX333" s="1204"/>
      <c r="AY333" s="1204"/>
      <c r="AZ333" s="1204"/>
      <c r="BA333" s="1204"/>
      <c r="BB333" s="1204"/>
      <c r="BC333" s="1204"/>
      <c r="BD333" s="1205"/>
      <c r="BE333" s="1843"/>
      <c r="BF333" s="1846"/>
      <c r="BG333" s="1846"/>
      <c r="BH333" s="1849"/>
      <c r="BI333" s="1852"/>
      <c r="BJ333" s="1840"/>
      <c r="BK333" s="1840"/>
      <c r="BL333" s="1840"/>
      <c r="BM333" s="1840"/>
      <c r="BN333" s="1837"/>
    </row>
    <row r="334" spans="2:66" ht="13.5">
      <c r="B334" s="1202" t="s">
        <v>385</v>
      </c>
      <c r="C334" s="1203"/>
      <c r="D334" s="1204"/>
      <c r="E334" s="1204"/>
      <c r="F334" s="1204"/>
      <c r="G334" s="1204"/>
      <c r="H334" s="1204"/>
      <c r="I334" s="1204"/>
      <c r="J334" s="1204"/>
      <c r="K334" s="1204"/>
      <c r="L334" s="1205"/>
      <c r="M334" s="1843"/>
      <c r="N334" s="1846"/>
      <c r="O334" s="1846"/>
      <c r="P334" s="1849"/>
      <c r="Q334" s="1852"/>
      <c r="R334" s="1840"/>
      <c r="S334" s="1840"/>
      <c r="T334" s="1840"/>
      <c r="U334" s="1840"/>
      <c r="V334" s="1837"/>
      <c r="X334" s="1202" t="s">
        <v>385</v>
      </c>
      <c r="Y334" s="1203"/>
      <c r="Z334" s="1204"/>
      <c r="AA334" s="1204"/>
      <c r="AB334" s="1204"/>
      <c r="AC334" s="1204"/>
      <c r="AD334" s="1204"/>
      <c r="AE334" s="1204"/>
      <c r="AF334" s="1204"/>
      <c r="AG334" s="1204"/>
      <c r="AH334" s="1205"/>
      <c r="AI334" s="1843"/>
      <c r="AJ334" s="1846"/>
      <c r="AK334" s="1846"/>
      <c r="AL334" s="1849"/>
      <c r="AM334" s="1852"/>
      <c r="AN334" s="1840"/>
      <c r="AO334" s="1840"/>
      <c r="AP334" s="1840"/>
      <c r="AQ334" s="1840"/>
      <c r="AR334" s="1837"/>
      <c r="AT334" s="1202" t="s">
        <v>385</v>
      </c>
      <c r="AU334" s="1203"/>
      <c r="AV334" s="1204"/>
      <c r="AW334" s="1204"/>
      <c r="AX334" s="1204"/>
      <c r="AY334" s="1204"/>
      <c r="AZ334" s="1204"/>
      <c r="BA334" s="1204"/>
      <c r="BB334" s="1204"/>
      <c r="BC334" s="1204"/>
      <c r="BD334" s="1205"/>
      <c r="BE334" s="1843"/>
      <c r="BF334" s="1846"/>
      <c r="BG334" s="1846"/>
      <c r="BH334" s="1849"/>
      <c r="BI334" s="1852"/>
      <c r="BJ334" s="1840"/>
      <c r="BK334" s="1840"/>
      <c r="BL334" s="1840"/>
      <c r="BM334" s="1840"/>
      <c r="BN334" s="1837"/>
    </row>
    <row r="335" spans="2:66" ht="14" thickBot="1">
      <c r="B335" s="1210" t="s">
        <v>388</v>
      </c>
      <c r="C335" s="1221" t="str">
        <f>IF(OR(C332&gt;0,C333&gt;0,C334&gt;0),1,"")</f>
        <v/>
      </c>
      <c r="D335" s="1222" t="str">
        <f>IF(OR(D332&gt;0,D333&gt;0,D334&gt;0),1,"")</f>
        <v/>
      </c>
      <c r="E335" s="1222" t="str">
        <f t="shared" ref="E335:L335" si="168">IF(OR(E332&gt;0,E333&gt;0,E334&gt;0),1,"")</f>
        <v/>
      </c>
      <c r="F335" s="1222" t="str">
        <f t="shared" si="168"/>
        <v/>
      </c>
      <c r="G335" s="1222" t="str">
        <f t="shared" si="168"/>
        <v/>
      </c>
      <c r="H335" s="1222" t="str">
        <f t="shared" si="168"/>
        <v/>
      </c>
      <c r="I335" s="1222" t="str">
        <f t="shared" si="168"/>
        <v/>
      </c>
      <c r="J335" s="1222" t="str">
        <f t="shared" si="168"/>
        <v/>
      </c>
      <c r="K335" s="1222" t="str">
        <f t="shared" si="168"/>
        <v/>
      </c>
      <c r="L335" s="1222" t="str">
        <f t="shared" si="168"/>
        <v/>
      </c>
      <c r="M335" s="1859"/>
      <c r="N335" s="1861"/>
      <c r="O335" s="1861"/>
      <c r="P335" s="1863"/>
      <c r="Q335" s="1855"/>
      <c r="R335" s="1857"/>
      <c r="S335" s="1857"/>
      <c r="T335" s="1857"/>
      <c r="U335" s="1857"/>
      <c r="V335" s="1865"/>
      <c r="X335" s="1210" t="s">
        <v>388</v>
      </c>
      <c r="Y335" s="1221" t="str">
        <f>IF(OR(Y332&gt;0,Y333&gt;0,Y334&gt;0),1,"")</f>
        <v/>
      </c>
      <c r="Z335" s="1222" t="str">
        <f>IF(OR(Z332&gt;0,Z333&gt;0,Z334&gt;0),1,"")</f>
        <v/>
      </c>
      <c r="AA335" s="1222" t="str">
        <f t="shared" ref="AA335:AH335" si="169">IF(OR(AA332&gt;0,AA333&gt;0,AA334&gt;0),1,"")</f>
        <v/>
      </c>
      <c r="AB335" s="1222" t="str">
        <f t="shared" si="169"/>
        <v/>
      </c>
      <c r="AC335" s="1222" t="str">
        <f t="shared" si="169"/>
        <v/>
      </c>
      <c r="AD335" s="1222" t="str">
        <f t="shared" si="169"/>
        <v/>
      </c>
      <c r="AE335" s="1222" t="str">
        <f t="shared" si="169"/>
        <v/>
      </c>
      <c r="AF335" s="1222" t="str">
        <f t="shared" si="169"/>
        <v/>
      </c>
      <c r="AG335" s="1222" t="str">
        <f t="shared" si="169"/>
        <v/>
      </c>
      <c r="AH335" s="1222" t="str">
        <f t="shared" si="169"/>
        <v/>
      </c>
      <c r="AI335" s="1859"/>
      <c r="AJ335" s="1861"/>
      <c r="AK335" s="1861"/>
      <c r="AL335" s="1863"/>
      <c r="AM335" s="1855"/>
      <c r="AN335" s="1857"/>
      <c r="AO335" s="1857"/>
      <c r="AP335" s="1857"/>
      <c r="AQ335" s="1857"/>
      <c r="AR335" s="1865"/>
      <c r="AT335" s="1210" t="s">
        <v>388</v>
      </c>
      <c r="AU335" s="1221" t="str">
        <f>IF(OR(AU332&gt;0,AU333&gt;0,AU334&gt;0),1,"")</f>
        <v/>
      </c>
      <c r="AV335" s="1222" t="str">
        <f>IF(OR(AV332&gt;0,AV333&gt;0,AV334&gt;0),1,"")</f>
        <v/>
      </c>
      <c r="AW335" s="1222" t="str">
        <f t="shared" ref="AW335:BD335" si="170">IF(OR(AW332&gt;0,AW333&gt;0,AW334&gt;0),1,"")</f>
        <v/>
      </c>
      <c r="AX335" s="1222" t="str">
        <f t="shared" si="170"/>
        <v/>
      </c>
      <c r="AY335" s="1222" t="str">
        <f t="shared" si="170"/>
        <v/>
      </c>
      <c r="AZ335" s="1222" t="str">
        <f t="shared" si="170"/>
        <v/>
      </c>
      <c r="BA335" s="1222" t="str">
        <f t="shared" si="170"/>
        <v/>
      </c>
      <c r="BB335" s="1222" t="str">
        <f t="shared" si="170"/>
        <v/>
      </c>
      <c r="BC335" s="1222" t="str">
        <f t="shared" si="170"/>
        <v/>
      </c>
      <c r="BD335" s="1222" t="str">
        <f t="shared" si="170"/>
        <v/>
      </c>
      <c r="BE335" s="1859"/>
      <c r="BF335" s="1861"/>
      <c r="BG335" s="1861"/>
      <c r="BH335" s="1863"/>
      <c r="BI335" s="1855"/>
      <c r="BJ335" s="1857"/>
      <c r="BK335" s="1857"/>
      <c r="BL335" s="1857"/>
      <c r="BM335" s="1857"/>
      <c r="BN335" s="1865"/>
    </row>
    <row r="336" spans="2:66" ht="15" customHeight="1" thickTop="1">
      <c r="B336" s="1194" t="s">
        <v>387</v>
      </c>
      <c r="C336" s="1195"/>
      <c r="D336" s="1196"/>
      <c r="E336" s="1196"/>
      <c r="F336" s="1196"/>
      <c r="G336" s="1196"/>
      <c r="H336" s="1196"/>
      <c r="I336" s="1196"/>
      <c r="J336" s="1196"/>
      <c r="K336" s="1196"/>
      <c r="L336" s="1197"/>
      <c r="M336" s="1858">
        <f>SUM(C336:L336)</f>
        <v>0</v>
      </c>
      <c r="N336" s="1860">
        <f>SUM(C337:L337)</f>
        <v>0</v>
      </c>
      <c r="O336" s="1860">
        <f>SUM(C338:L338)</f>
        <v>0</v>
      </c>
      <c r="P336" s="1862">
        <f>SUM(C339:L339)</f>
        <v>0</v>
      </c>
      <c r="Q336" s="1854" t="str">
        <f>IF(G323="","",SUM(N336:P340))</f>
        <v/>
      </c>
      <c r="R336" s="1856"/>
      <c r="S336" s="1856"/>
      <c r="T336" s="1856"/>
      <c r="U336" s="1856"/>
      <c r="V336" s="1864" t="s">
        <v>395</v>
      </c>
      <c r="X336" s="1194" t="s">
        <v>387</v>
      </c>
      <c r="Y336" s="1195"/>
      <c r="Z336" s="1196"/>
      <c r="AA336" s="1196"/>
      <c r="AB336" s="1196"/>
      <c r="AC336" s="1196"/>
      <c r="AD336" s="1196"/>
      <c r="AE336" s="1196"/>
      <c r="AF336" s="1196"/>
      <c r="AG336" s="1196"/>
      <c r="AH336" s="1197"/>
      <c r="AI336" s="1858">
        <f>SUM(Y336:AH336)</f>
        <v>0</v>
      </c>
      <c r="AJ336" s="1860">
        <f>SUM(Y337:AH337)</f>
        <v>0</v>
      </c>
      <c r="AK336" s="1860">
        <f>SUM(Y338:AH338)</f>
        <v>0</v>
      </c>
      <c r="AL336" s="1862">
        <f>SUM(Y339:AH339)</f>
        <v>0</v>
      </c>
      <c r="AM336" s="1854" t="str">
        <f>IF(AC323="","",SUM(AJ336:AL340))</f>
        <v/>
      </c>
      <c r="AN336" s="1856"/>
      <c r="AO336" s="1856"/>
      <c r="AP336" s="1856"/>
      <c r="AQ336" s="1856"/>
      <c r="AR336" s="1864" t="s">
        <v>395</v>
      </c>
      <c r="AT336" s="1194" t="s">
        <v>387</v>
      </c>
      <c r="AU336" s="1195"/>
      <c r="AV336" s="1196"/>
      <c r="AW336" s="1196"/>
      <c r="AX336" s="1196"/>
      <c r="AY336" s="1196"/>
      <c r="AZ336" s="1196"/>
      <c r="BA336" s="1196"/>
      <c r="BB336" s="1196"/>
      <c r="BC336" s="1196"/>
      <c r="BD336" s="1197"/>
      <c r="BE336" s="1858">
        <f>SUM(AU336:BD336)</f>
        <v>0</v>
      </c>
      <c r="BF336" s="1860">
        <f>SUM(AU337:BD337)</f>
        <v>0</v>
      </c>
      <c r="BG336" s="1860">
        <f>SUM(AU338:BD338)</f>
        <v>0</v>
      </c>
      <c r="BH336" s="1862">
        <f>SUM(AU339:BD339)</f>
        <v>0</v>
      </c>
      <c r="BI336" s="1854" t="str">
        <f>IF(AY323="","",SUM(BF336:BH340))</f>
        <v/>
      </c>
      <c r="BJ336" s="1856"/>
      <c r="BK336" s="1856"/>
      <c r="BL336" s="1856"/>
      <c r="BM336" s="1856"/>
      <c r="BN336" s="1864" t="s">
        <v>395</v>
      </c>
    </row>
    <row r="337" spans="2:66" ht="13.5">
      <c r="B337" s="1198" t="s">
        <v>383</v>
      </c>
      <c r="C337" s="1199"/>
      <c r="D337" s="1200"/>
      <c r="E337" s="1200"/>
      <c r="F337" s="1200"/>
      <c r="G337" s="1200"/>
      <c r="H337" s="1200"/>
      <c r="I337" s="1200"/>
      <c r="J337" s="1200"/>
      <c r="K337" s="1200"/>
      <c r="L337" s="1201"/>
      <c r="M337" s="1843"/>
      <c r="N337" s="1846"/>
      <c r="O337" s="1846"/>
      <c r="P337" s="1849"/>
      <c r="Q337" s="1852"/>
      <c r="R337" s="1840"/>
      <c r="S337" s="1840"/>
      <c r="T337" s="1840"/>
      <c r="U337" s="1840"/>
      <c r="V337" s="1837"/>
      <c r="X337" s="1198" t="s">
        <v>383</v>
      </c>
      <c r="Y337" s="1199"/>
      <c r="Z337" s="1200"/>
      <c r="AA337" s="1200"/>
      <c r="AB337" s="1200"/>
      <c r="AC337" s="1200"/>
      <c r="AD337" s="1200"/>
      <c r="AE337" s="1200"/>
      <c r="AF337" s="1200"/>
      <c r="AG337" s="1200"/>
      <c r="AH337" s="1201"/>
      <c r="AI337" s="1843"/>
      <c r="AJ337" s="1846"/>
      <c r="AK337" s="1846"/>
      <c r="AL337" s="1849"/>
      <c r="AM337" s="1852"/>
      <c r="AN337" s="1840"/>
      <c r="AO337" s="1840"/>
      <c r="AP337" s="1840"/>
      <c r="AQ337" s="1840"/>
      <c r="AR337" s="1837"/>
      <c r="AT337" s="1198" t="s">
        <v>383</v>
      </c>
      <c r="AU337" s="1199"/>
      <c r="AV337" s="1200"/>
      <c r="AW337" s="1200"/>
      <c r="AX337" s="1200"/>
      <c r="AY337" s="1200"/>
      <c r="AZ337" s="1200"/>
      <c r="BA337" s="1200"/>
      <c r="BB337" s="1200"/>
      <c r="BC337" s="1200"/>
      <c r="BD337" s="1201"/>
      <c r="BE337" s="1843"/>
      <c r="BF337" s="1846"/>
      <c r="BG337" s="1846"/>
      <c r="BH337" s="1849"/>
      <c r="BI337" s="1852"/>
      <c r="BJ337" s="1840"/>
      <c r="BK337" s="1840"/>
      <c r="BL337" s="1840"/>
      <c r="BM337" s="1840"/>
      <c r="BN337" s="1837"/>
    </row>
    <row r="338" spans="2:66" ht="13.5">
      <c r="B338" s="1202" t="s">
        <v>384</v>
      </c>
      <c r="C338" s="1203"/>
      <c r="D338" s="1204"/>
      <c r="E338" s="1204"/>
      <c r="F338" s="1204"/>
      <c r="G338" s="1204"/>
      <c r="H338" s="1204"/>
      <c r="I338" s="1204"/>
      <c r="J338" s="1204"/>
      <c r="K338" s="1204"/>
      <c r="L338" s="1205"/>
      <c r="M338" s="1843"/>
      <c r="N338" s="1846"/>
      <c r="O338" s="1846"/>
      <c r="P338" s="1849"/>
      <c r="Q338" s="1852"/>
      <c r="R338" s="1840"/>
      <c r="S338" s="1840"/>
      <c r="T338" s="1840"/>
      <c r="U338" s="1840"/>
      <c r="V338" s="1837"/>
      <c r="X338" s="1202" t="s">
        <v>384</v>
      </c>
      <c r="Y338" s="1203"/>
      <c r="Z338" s="1204"/>
      <c r="AA338" s="1204"/>
      <c r="AB338" s="1204"/>
      <c r="AC338" s="1204"/>
      <c r="AD338" s="1204"/>
      <c r="AE338" s="1204"/>
      <c r="AF338" s="1204"/>
      <c r="AG338" s="1204"/>
      <c r="AH338" s="1205"/>
      <c r="AI338" s="1843"/>
      <c r="AJ338" s="1846"/>
      <c r="AK338" s="1846"/>
      <c r="AL338" s="1849"/>
      <c r="AM338" s="1852"/>
      <c r="AN338" s="1840"/>
      <c r="AO338" s="1840"/>
      <c r="AP338" s="1840"/>
      <c r="AQ338" s="1840"/>
      <c r="AR338" s="1837"/>
      <c r="AT338" s="1202" t="s">
        <v>384</v>
      </c>
      <c r="AU338" s="1203"/>
      <c r="AV338" s="1204"/>
      <c r="AW338" s="1204"/>
      <c r="AX338" s="1204"/>
      <c r="AY338" s="1204"/>
      <c r="AZ338" s="1204"/>
      <c r="BA338" s="1204"/>
      <c r="BB338" s="1204"/>
      <c r="BC338" s="1204"/>
      <c r="BD338" s="1205"/>
      <c r="BE338" s="1843"/>
      <c r="BF338" s="1846"/>
      <c r="BG338" s="1846"/>
      <c r="BH338" s="1849"/>
      <c r="BI338" s="1852"/>
      <c r="BJ338" s="1840"/>
      <c r="BK338" s="1840"/>
      <c r="BL338" s="1840"/>
      <c r="BM338" s="1840"/>
      <c r="BN338" s="1837"/>
    </row>
    <row r="339" spans="2:66" ht="13.5">
      <c r="B339" s="1206" t="s">
        <v>385</v>
      </c>
      <c r="C339" s="1207"/>
      <c r="D339" s="1208"/>
      <c r="E339" s="1208"/>
      <c r="F339" s="1208"/>
      <c r="G339" s="1208"/>
      <c r="H339" s="1208"/>
      <c r="I339" s="1208"/>
      <c r="J339" s="1208"/>
      <c r="K339" s="1208"/>
      <c r="L339" s="1209"/>
      <c r="M339" s="1843"/>
      <c r="N339" s="1846"/>
      <c r="O339" s="1846"/>
      <c r="P339" s="1849"/>
      <c r="Q339" s="1852"/>
      <c r="R339" s="1840"/>
      <c r="S339" s="1840"/>
      <c r="T339" s="1840"/>
      <c r="U339" s="1840"/>
      <c r="V339" s="1837"/>
      <c r="X339" s="1206" t="s">
        <v>385</v>
      </c>
      <c r="Y339" s="1207"/>
      <c r="Z339" s="1208"/>
      <c r="AA339" s="1208"/>
      <c r="AB339" s="1208"/>
      <c r="AC339" s="1208"/>
      <c r="AD339" s="1208"/>
      <c r="AE339" s="1208"/>
      <c r="AF339" s="1208"/>
      <c r="AG339" s="1208"/>
      <c r="AH339" s="1209"/>
      <c r="AI339" s="1843"/>
      <c r="AJ339" s="1846"/>
      <c r="AK339" s="1846"/>
      <c r="AL339" s="1849"/>
      <c r="AM339" s="1852"/>
      <c r="AN339" s="1840"/>
      <c r="AO339" s="1840"/>
      <c r="AP339" s="1840"/>
      <c r="AQ339" s="1840"/>
      <c r="AR339" s="1837"/>
      <c r="AT339" s="1206" t="s">
        <v>385</v>
      </c>
      <c r="AU339" s="1207"/>
      <c r="AV339" s="1208"/>
      <c r="AW339" s="1208"/>
      <c r="AX339" s="1208"/>
      <c r="AY339" s="1208"/>
      <c r="AZ339" s="1208"/>
      <c r="BA339" s="1208"/>
      <c r="BB339" s="1208"/>
      <c r="BC339" s="1208"/>
      <c r="BD339" s="1209"/>
      <c r="BE339" s="1843"/>
      <c r="BF339" s="1846"/>
      <c r="BG339" s="1846"/>
      <c r="BH339" s="1849"/>
      <c r="BI339" s="1852"/>
      <c r="BJ339" s="1840"/>
      <c r="BK339" s="1840"/>
      <c r="BL339" s="1840"/>
      <c r="BM339" s="1840"/>
      <c r="BN339" s="1837"/>
    </row>
    <row r="340" spans="2:66" ht="14" thickBot="1">
      <c r="B340" s="1210" t="s">
        <v>388</v>
      </c>
      <c r="C340" s="1221" t="str">
        <f>IF(OR(C337&gt;0,C338&gt;0,C339&gt;0),1,"")</f>
        <v/>
      </c>
      <c r="D340" s="1222" t="str">
        <f>IF(OR(D337&gt;0,D338&gt;0,D339&gt;0),1,"")</f>
        <v/>
      </c>
      <c r="E340" s="1222" t="str">
        <f t="shared" ref="E340:L340" si="171">IF(OR(E337&gt;0,E338&gt;0,E339&gt;0),1,"")</f>
        <v/>
      </c>
      <c r="F340" s="1222" t="str">
        <f t="shared" si="171"/>
        <v/>
      </c>
      <c r="G340" s="1222" t="str">
        <f t="shared" si="171"/>
        <v/>
      </c>
      <c r="H340" s="1222" t="str">
        <f t="shared" si="171"/>
        <v/>
      </c>
      <c r="I340" s="1222" t="str">
        <f t="shared" si="171"/>
        <v/>
      </c>
      <c r="J340" s="1222" t="str">
        <f t="shared" si="171"/>
        <v/>
      </c>
      <c r="K340" s="1222" t="str">
        <f t="shared" si="171"/>
        <v/>
      </c>
      <c r="L340" s="1222" t="str">
        <f t="shared" si="171"/>
        <v/>
      </c>
      <c r="M340" s="1859"/>
      <c r="N340" s="1861"/>
      <c r="O340" s="1861"/>
      <c r="P340" s="1863"/>
      <c r="Q340" s="1855"/>
      <c r="R340" s="1857"/>
      <c r="S340" s="1857"/>
      <c r="T340" s="1857"/>
      <c r="U340" s="1857"/>
      <c r="V340" s="1865"/>
      <c r="X340" s="1210" t="s">
        <v>388</v>
      </c>
      <c r="Y340" s="1221" t="str">
        <f>IF(OR(Y337&gt;0,Y338&gt;0,Y339&gt;0),1,"")</f>
        <v/>
      </c>
      <c r="Z340" s="1222" t="str">
        <f>IF(OR(Z337&gt;0,Z338&gt;0,Z339&gt;0),1,"")</f>
        <v/>
      </c>
      <c r="AA340" s="1222" t="str">
        <f t="shared" ref="AA340:AH340" si="172">IF(OR(AA337&gt;0,AA338&gt;0,AA339&gt;0),1,"")</f>
        <v/>
      </c>
      <c r="AB340" s="1222" t="str">
        <f t="shared" si="172"/>
        <v/>
      </c>
      <c r="AC340" s="1222" t="str">
        <f t="shared" si="172"/>
        <v/>
      </c>
      <c r="AD340" s="1222" t="str">
        <f t="shared" si="172"/>
        <v/>
      </c>
      <c r="AE340" s="1222" t="str">
        <f t="shared" si="172"/>
        <v/>
      </c>
      <c r="AF340" s="1222" t="str">
        <f t="shared" si="172"/>
        <v/>
      </c>
      <c r="AG340" s="1222" t="str">
        <f t="shared" si="172"/>
        <v/>
      </c>
      <c r="AH340" s="1222" t="str">
        <f t="shared" si="172"/>
        <v/>
      </c>
      <c r="AI340" s="1859"/>
      <c r="AJ340" s="1861"/>
      <c r="AK340" s="1861"/>
      <c r="AL340" s="1863"/>
      <c r="AM340" s="1855"/>
      <c r="AN340" s="1857"/>
      <c r="AO340" s="1857"/>
      <c r="AP340" s="1857"/>
      <c r="AQ340" s="1857"/>
      <c r="AR340" s="1865"/>
      <c r="AT340" s="1210" t="s">
        <v>388</v>
      </c>
      <c r="AU340" s="1221" t="str">
        <f>IF(OR(AU337&gt;0,AU338&gt;0,AU339&gt;0),1,"")</f>
        <v/>
      </c>
      <c r="AV340" s="1222" t="str">
        <f>IF(OR(AV337&gt;0,AV338&gt;0,AV339&gt;0),1,"")</f>
        <v/>
      </c>
      <c r="AW340" s="1222" t="str">
        <f t="shared" ref="AW340:BD340" si="173">IF(OR(AW337&gt;0,AW338&gt;0,AW339&gt;0),1,"")</f>
        <v/>
      </c>
      <c r="AX340" s="1222" t="str">
        <f t="shared" si="173"/>
        <v/>
      </c>
      <c r="AY340" s="1222" t="str">
        <f t="shared" si="173"/>
        <v/>
      </c>
      <c r="AZ340" s="1222" t="str">
        <f t="shared" si="173"/>
        <v/>
      </c>
      <c r="BA340" s="1222" t="str">
        <f t="shared" si="173"/>
        <v/>
      </c>
      <c r="BB340" s="1222" t="str">
        <f t="shared" si="173"/>
        <v/>
      </c>
      <c r="BC340" s="1222" t="str">
        <f t="shared" si="173"/>
        <v/>
      </c>
      <c r="BD340" s="1222" t="str">
        <f t="shared" si="173"/>
        <v/>
      </c>
      <c r="BE340" s="1859"/>
      <c r="BF340" s="1861"/>
      <c r="BG340" s="1861"/>
      <c r="BH340" s="1863"/>
      <c r="BI340" s="1855"/>
      <c r="BJ340" s="1857"/>
      <c r="BK340" s="1857"/>
      <c r="BL340" s="1857"/>
      <c r="BM340" s="1857"/>
      <c r="BN340" s="1865"/>
    </row>
    <row r="341" spans="2:66" ht="15" customHeight="1" thickTop="1">
      <c r="B341" s="1194" t="s">
        <v>387</v>
      </c>
      <c r="C341" s="1195"/>
      <c r="D341" s="1196"/>
      <c r="E341" s="1196"/>
      <c r="F341" s="1196"/>
      <c r="G341" s="1196"/>
      <c r="H341" s="1196"/>
      <c r="I341" s="1196"/>
      <c r="J341" s="1196"/>
      <c r="K341" s="1196"/>
      <c r="L341" s="1197"/>
      <c r="M341" s="1858">
        <f>SUM(C341:L341)</f>
        <v>0</v>
      </c>
      <c r="N341" s="1860">
        <f>SUM(C342:L342)</f>
        <v>0</v>
      </c>
      <c r="O341" s="1860">
        <f>SUM(C343:L343)</f>
        <v>0</v>
      </c>
      <c r="P341" s="1862">
        <f>SUM(C344:L344)</f>
        <v>0</v>
      </c>
      <c r="Q341" s="1854" t="str">
        <f>IF(G323="","",SUM(N341:P345))</f>
        <v/>
      </c>
      <c r="R341" s="1856"/>
      <c r="S341" s="1856"/>
      <c r="T341" s="1856"/>
      <c r="U341" s="1856"/>
      <c r="V341" s="1864" t="s">
        <v>395</v>
      </c>
      <c r="X341" s="1194" t="s">
        <v>387</v>
      </c>
      <c r="Y341" s="1195"/>
      <c r="Z341" s="1196"/>
      <c r="AA341" s="1196"/>
      <c r="AB341" s="1196"/>
      <c r="AC341" s="1196"/>
      <c r="AD341" s="1196"/>
      <c r="AE341" s="1196"/>
      <c r="AF341" s="1196"/>
      <c r="AG341" s="1196"/>
      <c r="AH341" s="1197"/>
      <c r="AI341" s="1858">
        <f>SUM(Y341:AH341)</f>
        <v>0</v>
      </c>
      <c r="AJ341" s="1860">
        <f>SUM(Y342:AH342)</f>
        <v>0</v>
      </c>
      <c r="AK341" s="1860">
        <f>SUM(Y343:AH343)</f>
        <v>0</v>
      </c>
      <c r="AL341" s="1862">
        <f>SUM(Y344:AH344)</f>
        <v>0</v>
      </c>
      <c r="AM341" s="1854" t="str">
        <f>IF(AC323="","",SUM(AJ341:AL345))</f>
        <v/>
      </c>
      <c r="AN341" s="1856"/>
      <c r="AO341" s="1856"/>
      <c r="AP341" s="1856"/>
      <c r="AQ341" s="1856"/>
      <c r="AR341" s="1864" t="s">
        <v>395</v>
      </c>
      <c r="AT341" s="1194" t="s">
        <v>387</v>
      </c>
      <c r="AU341" s="1195"/>
      <c r="AV341" s="1196"/>
      <c r="AW341" s="1196"/>
      <c r="AX341" s="1196"/>
      <c r="AY341" s="1196"/>
      <c r="AZ341" s="1196"/>
      <c r="BA341" s="1196"/>
      <c r="BB341" s="1196"/>
      <c r="BC341" s="1196"/>
      <c r="BD341" s="1197"/>
      <c r="BE341" s="1858">
        <f>SUM(AU341:BD341)</f>
        <v>0</v>
      </c>
      <c r="BF341" s="1860">
        <f>SUM(AU342:BD342)</f>
        <v>0</v>
      </c>
      <c r="BG341" s="1860">
        <f>SUM(AU343:BD343)</f>
        <v>0</v>
      </c>
      <c r="BH341" s="1862">
        <f>SUM(AU344:BD344)</f>
        <v>0</v>
      </c>
      <c r="BI341" s="1854" t="str">
        <f>IF(AY323="","",SUM(BF341:BH345))</f>
        <v/>
      </c>
      <c r="BJ341" s="1856"/>
      <c r="BK341" s="1856"/>
      <c r="BL341" s="1856"/>
      <c r="BM341" s="1856"/>
      <c r="BN341" s="1864" t="s">
        <v>395</v>
      </c>
    </row>
    <row r="342" spans="2:66" ht="13.5">
      <c r="B342" s="1198" t="s">
        <v>383</v>
      </c>
      <c r="C342" s="1199"/>
      <c r="D342" s="1200"/>
      <c r="E342" s="1200"/>
      <c r="F342" s="1200"/>
      <c r="G342" s="1200"/>
      <c r="H342" s="1200"/>
      <c r="I342" s="1200"/>
      <c r="J342" s="1200"/>
      <c r="K342" s="1200"/>
      <c r="L342" s="1201"/>
      <c r="M342" s="1843"/>
      <c r="N342" s="1846"/>
      <c r="O342" s="1846"/>
      <c r="P342" s="1849"/>
      <c r="Q342" s="1852"/>
      <c r="R342" s="1840"/>
      <c r="S342" s="1840"/>
      <c r="T342" s="1840"/>
      <c r="U342" s="1840"/>
      <c r="V342" s="1837"/>
      <c r="X342" s="1198" t="s">
        <v>383</v>
      </c>
      <c r="Y342" s="1199"/>
      <c r="Z342" s="1200"/>
      <c r="AA342" s="1200"/>
      <c r="AB342" s="1200"/>
      <c r="AC342" s="1200"/>
      <c r="AD342" s="1200"/>
      <c r="AE342" s="1200"/>
      <c r="AF342" s="1200"/>
      <c r="AG342" s="1200"/>
      <c r="AH342" s="1201"/>
      <c r="AI342" s="1843"/>
      <c r="AJ342" s="1846"/>
      <c r="AK342" s="1846"/>
      <c r="AL342" s="1849"/>
      <c r="AM342" s="1852"/>
      <c r="AN342" s="1840"/>
      <c r="AO342" s="1840"/>
      <c r="AP342" s="1840"/>
      <c r="AQ342" s="1840"/>
      <c r="AR342" s="1837"/>
      <c r="AT342" s="1198" t="s">
        <v>383</v>
      </c>
      <c r="AU342" s="1199"/>
      <c r="AV342" s="1200"/>
      <c r="AW342" s="1200"/>
      <c r="AX342" s="1200"/>
      <c r="AY342" s="1200"/>
      <c r="AZ342" s="1200"/>
      <c r="BA342" s="1200"/>
      <c r="BB342" s="1200"/>
      <c r="BC342" s="1200"/>
      <c r="BD342" s="1201"/>
      <c r="BE342" s="1843"/>
      <c r="BF342" s="1846"/>
      <c r="BG342" s="1846"/>
      <c r="BH342" s="1849"/>
      <c r="BI342" s="1852"/>
      <c r="BJ342" s="1840"/>
      <c r="BK342" s="1840"/>
      <c r="BL342" s="1840"/>
      <c r="BM342" s="1840"/>
      <c r="BN342" s="1837"/>
    </row>
    <row r="343" spans="2:66" ht="13.5">
      <c r="B343" s="1202" t="s">
        <v>384</v>
      </c>
      <c r="C343" s="1203"/>
      <c r="D343" s="1204"/>
      <c r="E343" s="1204"/>
      <c r="F343" s="1204"/>
      <c r="G343" s="1204"/>
      <c r="H343" s="1204"/>
      <c r="I343" s="1204"/>
      <c r="J343" s="1204"/>
      <c r="K343" s="1204"/>
      <c r="L343" s="1205"/>
      <c r="M343" s="1843"/>
      <c r="N343" s="1846"/>
      <c r="O343" s="1846"/>
      <c r="P343" s="1849"/>
      <c r="Q343" s="1852"/>
      <c r="R343" s="1840"/>
      <c r="S343" s="1840"/>
      <c r="T343" s="1840"/>
      <c r="U343" s="1840"/>
      <c r="V343" s="1837"/>
      <c r="X343" s="1202" t="s">
        <v>384</v>
      </c>
      <c r="Y343" s="1203"/>
      <c r="Z343" s="1204"/>
      <c r="AA343" s="1204"/>
      <c r="AB343" s="1204"/>
      <c r="AC343" s="1204"/>
      <c r="AD343" s="1204"/>
      <c r="AE343" s="1204"/>
      <c r="AF343" s="1204"/>
      <c r="AG343" s="1204"/>
      <c r="AH343" s="1205"/>
      <c r="AI343" s="1843"/>
      <c r="AJ343" s="1846"/>
      <c r="AK343" s="1846"/>
      <c r="AL343" s="1849"/>
      <c r="AM343" s="1852"/>
      <c r="AN343" s="1840"/>
      <c r="AO343" s="1840"/>
      <c r="AP343" s="1840"/>
      <c r="AQ343" s="1840"/>
      <c r="AR343" s="1837"/>
      <c r="AT343" s="1202" t="s">
        <v>384</v>
      </c>
      <c r="AU343" s="1203"/>
      <c r="AV343" s="1204"/>
      <c r="AW343" s="1204"/>
      <c r="AX343" s="1204"/>
      <c r="AY343" s="1204"/>
      <c r="AZ343" s="1204"/>
      <c r="BA343" s="1204"/>
      <c r="BB343" s="1204"/>
      <c r="BC343" s="1204"/>
      <c r="BD343" s="1205"/>
      <c r="BE343" s="1843"/>
      <c r="BF343" s="1846"/>
      <c r="BG343" s="1846"/>
      <c r="BH343" s="1849"/>
      <c r="BI343" s="1852"/>
      <c r="BJ343" s="1840"/>
      <c r="BK343" s="1840"/>
      <c r="BL343" s="1840"/>
      <c r="BM343" s="1840"/>
      <c r="BN343" s="1837"/>
    </row>
    <row r="344" spans="2:66" ht="13.5">
      <c r="B344" s="1206" t="s">
        <v>385</v>
      </c>
      <c r="C344" s="1207"/>
      <c r="D344" s="1208"/>
      <c r="E344" s="1208"/>
      <c r="F344" s="1208"/>
      <c r="G344" s="1208"/>
      <c r="H344" s="1208"/>
      <c r="I344" s="1208"/>
      <c r="J344" s="1208"/>
      <c r="K344" s="1208"/>
      <c r="L344" s="1209"/>
      <c r="M344" s="1843"/>
      <c r="N344" s="1846"/>
      <c r="O344" s="1846"/>
      <c r="P344" s="1849"/>
      <c r="Q344" s="1852"/>
      <c r="R344" s="1840"/>
      <c r="S344" s="1840"/>
      <c r="T344" s="1840"/>
      <c r="U344" s="1840"/>
      <c r="V344" s="1837"/>
      <c r="X344" s="1206" t="s">
        <v>385</v>
      </c>
      <c r="Y344" s="1207"/>
      <c r="Z344" s="1208"/>
      <c r="AA344" s="1208"/>
      <c r="AB344" s="1208"/>
      <c r="AC344" s="1208"/>
      <c r="AD344" s="1208"/>
      <c r="AE344" s="1208"/>
      <c r="AF344" s="1208"/>
      <c r="AG344" s="1208"/>
      <c r="AH344" s="1209"/>
      <c r="AI344" s="1843"/>
      <c r="AJ344" s="1846"/>
      <c r="AK344" s="1846"/>
      <c r="AL344" s="1849"/>
      <c r="AM344" s="1852"/>
      <c r="AN344" s="1840"/>
      <c r="AO344" s="1840"/>
      <c r="AP344" s="1840"/>
      <c r="AQ344" s="1840"/>
      <c r="AR344" s="1837"/>
      <c r="AT344" s="1206" t="s">
        <v>385</v>
      </c>
      <c r="AU344" s="1207"/>
      <c r="AV344" s="1208"/>
      <c r="AW344" s="1208"/>
      <c r="AX344" s="1208"/>
      <c r="AY344" s="1208"/>
      <c r="AZ344" s="1208"/>
      <c r="BA344" s="1208"/>
      <c r="BB344" s="1208"/>
      <c r="BC344" s="1208"/>
      <c r="BD344" s="1209"/>
      <c r="BE344" s="1843"/>
      <c r="BF344" s="1846"/>
      <c r="BG344" s="1846"/>
      <c r="BH344" s="1849"/>
      <c r="BI344" s="1852"/>
      <c r="BJ344" s="1840"/>
      <c r="BK344" s="1840"/>
      <c r="BL344" s="1840"/>
      <c r="BM344" s="1840"/>
      <c r="BN344" s="1837"/>
    </row>
    <row r="345" spans="2:66" ht="14" thickBot="1">
      <c r="B345" s="1210" t="s">
        <v>388</v>
      </c>
      <c r="C345" s="1221" t="str">
        <f>IF(OR(C342&gt;0,C343&gt;0,C344&gt;0),1,"")</f>
        <v/>
      </c>
      <c r="D345" s="1222" t="str">
        <f>IF(OR(D342&gt;0,D343&gt;0,D344&gt;0),1,"")</f>
        <v/>
      </c>
      <c r="E345" s="1222" t="str">
        <f t="shared" ref="E345:L345" si="174">IF(OR(E342&gt;0,E343&gt;0,E344&gt;0),1,"")</f>
        <v/>
      </c>
      <c r="F345" s="1222" t="str">
        <f t="shared" si="174"/>
        <v/>
      </c>
      <c r="G345" s="1222" t="str">
        <f t="shared" si="174"/>
        <v/>
      </c>
      <c r="H345" s="1222" t="str">
        <f t="shared" si="174"/>
        <v/>
      </c>
      <c r="I345" s="1222" t="str">
        <f t="shared" si="174"/>
        <v/>
      </c>
      <c r="J345" s="1222" t="str">
        <f t="shared" si="174"/>
        <v/>
      </c>
      <c r="K345" s="1222" t="str">
        <f t="shared" si="174"/>
        <v/>
      </c>
      <c r="L345" s="1222" t="str">
        <f t="shared" si="174"/>
        <v/>
      </c>
      <c r="M345" s="1859"/>
      <c r="N345" s="1861"/>
      <c r="O345" s="1861"/>
      <c r="P345" s="1863"/>
      <c r="Q345" s="1855"/>
      <c r="R345" s="1857"/>
      <c r="S345" s="1857"/>
      <c r="T345" s="1857"/>
      <c r="U345" s="1857"/>
      <c r="V345" s="1865"/>
      <c r="X345" s="1210" t="s">
        <v>388</v>
      </c>
      <c r="Y345" s="1221" t="str">
        <f>IF(OR(Y342&gt;0,Y343&gt;0,Y344&gt;0),1,"")</f>
        <v/>
      </c>
      <c r="Z345" s="1222" t="str">
        <f>IF(OR(Z342&gt;0,Z343&gt;0,Z344&gt;0),1,"")</f>
        <v/>
      </c>
      <c r="AA345" s="1222" t="str">
        <f t="shared" ref="AA345:AH345" si="175">IF(OR(AA342&gt;0,AA343&gt;0,AA344&gt;0),1,"")</f>
        <v/>
      </c>
      <c r="AB345" s="1222" t="str">
        <f t="shared" si="175"/>
        <v/>
      </c>
      <c r="AC345" s="1222" t="str">
        <f t="shared" si="175"/>
        <v/>
      </c>
      <c r="AD345" s="1222" t="str">
        <f t="shared" si="175"/>
        <v/>
      </c>
      <c r="AE345" s="1222" t="str">
        <f t="shared" si="175"/>
        <v/>
      </c>
      <c r="AF345" s="1222" t="str">
        <f t="shared" si="175"/>
        <v/>
      </c>
      <c r="AG345" s="1222" t="str">
        <f t="shared" si="175"/>
        <v/>
      </c>
      <c r="AH345" s="1222" t="str">
        <f t="shared" si="175"/>
        <v/>
      </c>
      <c r="AI345" s="1859"/>
      <c r="AJ345" s="1861"/>
      <c r="AK345" s="1861"/>
      <c r="AL345" s="1863"/>
      <c r="AM345" s="1855"/>
      <c r="AN345" s="1857"/>
      <c r="AO345" s="1857"/>
      <c r="AP345" s="1857"/>
      <c r="AQ345" s="1857"/>
      <c r="AR345" s="1865"/>
      <c r="AT345" s="1210" t="s">
        <v>388</v>
      </c>
      <c r="AU345" s="1221" t="str">
        <f>IF(OR(AU342&gt;0,AU343&gt;0,AU344&gt;0),1,"")</f>
        <v/>
      </c>
      <c r="AV345" s="1222" t="str">
        <f>IF(OR(AV342&gt;0,AV343&gt;0,AV344&gt;0),1,"")</f>
        <v/>
      </c>
      <c r="AW345" s="1222" t="str">
        <f t="shared" ref="AW345:BD345" si="176">IF(OR(AW342&gt;0,AW343&gt;0,AW344&gt;0),1,"")</f>
        <v/>
      </c>
      <c r="AX345" s="1222" t="str">
        <f t="shared" si="176"/>
        <v/>
      </c>
      <c r="AY345" s="1222" t="str">
        <f t="shared" si="176"/>
        <v/>
      </c>
      <c r="AZ345" s="1222" t="str">
        <f t="shared" si="176"/>
        <v/>
      </c>
      <c r="BA345" s="1222" t="str">
        <f t="shared" si="176"/>
        <v/>
      </c>
      <c r="BB345" s="1222" t="str">
        <f t="shared" si="176"/>
        <v/>
      </c>
      <c r="BC345" s="1222" t="str">
        <f t="shared" si="176"/>
        <v/>
      </c>
      <c r="BD345" s="1222" t="str">
        <f t="shared" si="176"/>
        <v/>
      </c>
      <c r="BE345" s="1859"/>
      <c r="BF345" s="1861"/>
      <c r="BG345" s="1861"/>
      <c r="BH345" s="1863"/>
      <c r="BI345" s="1855"/>
      <c r="BJ345" s="1857"/>
      <c r="BK345" s="1857"/>
      <c r="BL345" s="1857"/>
      <c r="BM345" s="1857"/>
      <c r="BN345" s="1865"/>
    </row>
    <row r="346" spans="2:66" ht="15" customHeight="1" thickTop="1">
      <c r="B346" s="1194" t="s">
        <v>387</v>
      </c>
      <c r="C346" s="1195"/>
      <c r="D346" s="1196"/>
      <c r="E346" s="1196"/>
      <c r="F346" s="1196"/>
      <c r="G346" s="1196"/>
      <c r="H346" s="1196"/>
      <c r="I346" s="1196"/>
      <c r="J346" s="1196"/>
      <c r="K346" s="1196"/>
      <c r="L346" s="1197"/>
      <c r="M346" s="1842">
        <f>SUM(C346:L346)</f>
        <v>0</v>
      </c>
      <c r="N346" s="1845">
        <f>SUM(C347:L347)</f>
        <v>0</v>
      </c>
      <c r="O346" s="1845">
        <f>SUM(C348:L348)</f>
        <v>0</v>
      </c>
      <c r="P346" s="1848">
        <f>SUM(C349:L349)</f>
        <v>0</v>
      </c>
      <c r="Q346" s="1851" t="str">
        <f>IF(G323="","",SUM(N346:P350))</f>
        <v/>
      </c>
      <c r="R346" s="1839"/>
      <c r="S346" s="1839"/>
      <c r="T346" s="1839"/>
      <c r="U346" s="1839"/>
      <c r="V346" s="1836" t="s">
        <v>395</v>
      </c>
      <c r="X346" s="1194" t="s">
        <v>387</v>
      </c>
      <c r="Y346" s="1195"/>
      <c r="Z346" s="1196"/>
      <c r="AA346" s="1196"/>
      <c r="AB346" s="1196"/>
      <c r="AC346" s="1196"/>
      <c r="AD346" s="1196"/>
      <c r="AE346" s="1196"/>
      <c r="AF346" s="1196"/>
      <c r="AG346" s="1196"/>
      <c r="AH346" s="1197"/>
      <c r="AI346" s="1842">
        <f>SUM(Y346:AH346)</f>
        <v>0</v>
      </c>
      <c r="AJ346" s="1845">
        <f>SUM(Y347:AH347)</f>
        <v>0</v>
      </c>
      <c r="AK346" s="1845">
        <f>SUM(Y348:AH348)</f>
        <v>0</v>
      </c>
      <c r="AL346" s="1848">
        <f>SUM(Y349:AH349)</f>
        <v>0</v>
      </c>
      <c r="AM346" s="1851" t="str">
        <f>IF(AC323="","",SUM(AJ346:AL350))</f>
        <v/>
      </c>
      <c r="AN346" s="1839"/>
      <c r="AO346" s="1839"/>
      <c r="AP346" s="1839"/>
      <c r="AQ346" s="1839"/>
      <c r="AR346" s="1836" t="s">
        <v>395</v>
      </c>
      <c r="AT346" s="1194" t="s">
        <v>387</v>
      </c>
      <c r="AU346" s="1195"/>
      <c r="AV346" s="1196"/>
      <c r="AW346" s="1196"/>
      <c r="AX346" s="1196"/>
      <c r="AY346" s="1196"/>
      <c r="AZ346" s="1196"/>
      <c r="BA346" s="1196"/>
      <c r="BB346" s="1196"/>
      <c r="BC346" s="1196"/>
      <c r="BD346" s="1197"/>
      <c r="BE346" s="1842">
        <f>SUM(AU346:BD346)</f>
        <v>0</v>
      </c>
      <c r="BF346" s="1845">
        <f>SUM(AU347:BD347)</f>
        <v>0</v>
      </c>
      <c r="BG346" s="1845">
        <f>SUM(AU348:BD348)</f>
        <v>0</v>
      </c>
      <c r="BH346" s="1848">
        <f>SUM(AU349:BD349)</f>
        <v>0</v>
      </c>
      <c r="BI346" s="1851" t="str">
        <f>IF(AY323="","",SUM(BF346:BH350))</f>
        <v/>
      </c>
      <c r="BJ346" s="1839"/>
      <c r="BK346" s="1839"/>
      <c r="BL346" s="1839"/>
      <c r="BM346" s="1839"/>
      <c r="BN346" s="1836" t="s">
        <v>395</v>
      </c>
    </row>
    <row r="347" spans="2:66" ht="13.5">
      <c r="B347" s="1198" t="s">
        <v>383</v>
      </c>
      <c r="C347" s="1199"/>
      <c r="D347" s="1200"/>
      <c r="E347" s="1200"/>
      <c r="F347" s="1200"/>
      <c r="G347" s="1200"/>
      <c r="H347" s="1200"/>
      <c r="I347" s="1200"/>
      <c r="J347" s="1200"/>
      <c r="K347" s="1200"/>
      <c r="L347" s="1201"/>
      <c r="M347" s="1843"/>
      <c r="N347" s="1846"/>
      <c r="O347" s="1846"/>
      <c r="P347" s="1849"/>
      <c r="Q347" s="1852"/>
      <c r="R347" s="1840"/>
      <c r="S347" s="1840"/>
      <c r="T347" s="1840"/>
      <c r="U347" s="1840"/>
      <c r="V347" s="1837"/>
      <c r="X347" s="1198" t="s">
        <v>383</v>
      </c>
      <c r="Y347" s="1199"/>
      <c r="Z347" s="1200"/>
      <c r="AA347" s="1200"/>
      <c r="AB347" s="1200"/>
      <c r="AC347" s="1200"/>
      <c r="AD347" s="1200"/>
      <c r="AE347" s="1200"/>
      <c r="AF347" s="1200"/>
      <c r="AG347" s="1200"/>
      <c r="AH347" s="1201"/>
      <c r="AI347" s="1843"/>
      <c r="AJ347" s="1846"/>
      <c r="AK347" s="1846"/>
      <c r="AL347" s="1849"/>
      <c r="AM347" s="1852"/>
      <c r="AN347" s="1840"/>
      <c r="AO347" s="1840"/>
      <c r="AP347" s="1840"/>
      <c r="AQ347" s="1840"/>
      <c r="AR347" s="1837"/>
      <c r="AT347" s="1198" t="s">
        <v>383</v>
      </c>
      <c r="AU347" s="1199"/>
      <c r="AV347" s="1200"/>
      <c r="AW347" s="1200"/>
      <c r="AX347" s="1200"/>
      <c r="AY347" s="1200"/>
      <c r="AZ347" s="1200"/>
      <c r="BA347" s="1200"/>
      <c r="BB347" s="1200"/>
      <c r="BC347" s="1200"/>
      <c r="BD347" s="1201"/>
      <c r="BE347" s="1843"/>
      <c r="BF347" s="1846"/>
      <c r="BG347" s="1846"/>
      <c r="BH347" s="1849"/>
      <c r="BI347" s="1852"/>
      <c r="BJ347" s="1840"/>
      <c r="BK347" s="1840"/>
      <c r="BL347" s="1840"/>
      <c r="BM347" s="1840"/>
      <c r="BN347" s="1837"/>
    </row>
    <row r="348" spans="2:66" ht="13.5">
      <c r="B348" s="1202" t="s">
        <v>384</v>
      </c>
      <c r="C348" s="1203"/>
      <c r="D348" s="1204"/>
      <c r="E348" s="1204"/>
      <c r="F348" s="1204"/>
      <c r="G348" s="1204"/>
      <c r="H348" s="1204"/>
      <c r="I348" s="1204"/>
      <c r="J348" s="1204"/>
      <c r="K348" s="1204"/>
      <c r="L348" s="1205"/>
      <c r="M348" s="1843"/>
      <c r="N348" s="1846"/>
      <c r="O348" s="1846"/>
      <c r="P348" s="1849"/>
      <c r="Q348" s="1852"/>
      <c r="R348" s="1840"/>
      <c r="S348" s="1840"/>
      <c r="T348" s="1840"/>
      <c r="U348" s="1840"/>
      <c r="V348" s="1837"/>
      <c r="X348" s="1202" t="s">
        <v>384</v>
      </c>
      <c r="Y348" s="1203"/>
      <c r="Z348" s="1204"/>
      <c r="AA348" s="1204"/>
      <c r="AB348" s="1204"/>
      <c r="AC348" s="1204"/>
      <c r="AD348" s="1204"/>
      <c r="AE348" s="1204"/>
      <c r="AF348" s="1204"/>
      <c r="AG348" s="1204"/>
      <c r="AH348" s="1205"/>
      <c r="AI348" s="1843"/>
      <c r="AJ348" s="1846"/>
      <c r="AK348" s="1846"/>
      <c r="AL348" s="1849"/>
      <c r="AM348" s="1852"/>
      <c r="AN348" s="1840"/>
      <c r="AO348" s="1840"/>
      <c r="AP348" s="1840"/>
      <c r="AQ348" s="1840"/>
      <c r="AR348" s="1837"/>
      <c r="AT348" s="1202" t="s">
        <v>384</v>
      </c>
      <c r="AU348" s="1203"/>
      <c r="AV348" s="1204"/>
      <c r="AW348" s="1204"/>
      <c r="AX348" s="1204"/>
      <c r="AY348" s="1204"/>
      <c r="AZ348" s="1204"/>
      <c r="BA348" s="1204"/>
      <c r="BB348" s="1204"/>
      <c r="BC348" s="1204"/>
      <c r="BD348" s="1205"/>
      <c r="BE348" s="1843"/>
      <c r="BF348" s="1846"/>
      <c r="BG348" s="1846"/>
      <c r="BH348" s="1849"/>
      <c r="BI348" s="1852"/>
      <c r="BJ348" s="1840"/>
      <c r="BK348" s="1840"/>
      <c r="BL348" s="1840"/>
      <c r="BM348" s="1840"/>
      <c r="BN348" s="1837"/>
    </row>
    <row r="349" spans="2:66" ht="13.5">
      <c r="B349" s="1206" t="s">
        <v>385</v>
      </c>
      <c r="C349" s="1207"/>
      <c r="D349" s="1208"/>
      <c r="E349" s="1208"/>
      <c r="F349" s="1208"/>
      <c r="G349" s="1208"/>
      <c r="H349" s="1208"/>
      <c r="I349" s="1208"/>
      <c r="J349" s="1208"/>
      <c r="K349" s="1208"/>
      <c r="L349" s="1209"/>
      <c r="M349" s="1843"/>
      <c r="N349" s="1846"/>
      <c r="O349" s="1846"/>
      <c r="P349" s="1849"/>
      <c r="Q349" s="1852"/>
      <c r="R349" s="1840"/>
      <c r="S349" s="1840"/>
      <c r="T349" s="1840"/>
      <c r="U349" s="1840"/>
      <c r="V349" s="1837"/>
      <c r="X349" s="1206" t="s">
        <v>385</v>
      </c>
      <c r="Y349" s="1207"/>
      <c r="Z349" s="1208"/>
      <c r="AA349" s="1208"/>
      <c r="AB349" s="1208"/>
      <c r="AC349" s="1208"/>
      <c r="AD349" s="1208"/>
      <c r="AE349" s="1208"/>
      <c r="AF349" s="1208"/>
      <c r="AG349" s="1208"/>
      <c r="AH349" s="1209"/>
      <c r="AI349" s="1843"/>
      <c r="AJ349" s="1846"/>
      <c r="AK349" s="1846"/>
      <c r="AL349" s="1849"/>
      <c r="AM349" s="1852"/>
      <c r="AN349" s="1840"/>
      <c r="AO349" s="1840"/>
      <c r="AP349" s="1840"/>
      <c r="AQ349" s="1840"/>
      <c r="AR349" s="1837"/>
      <c r="AT349" s="1206" t="s">
        <v>385</v>
      </c>
      <c r="AU349" s="1207"/>
      <c r="AV349" s="1208"/>
      <c r="AW349" s="1208"/>
      <c r="AX349" s="1208"/>
      <c r="AY349" s="1208"/>
      <c r="AZ349" s="1208"/>
      <c r="BA349" s="1208"/>
      <c r="BB349" s="1208"/>
      <c r="BC349" s="1208"/>
      <c r="BD349" s="1209"/>
      <c r="BE349" s="1843"/>
      <c r="BF349" s="1846"/>
      <c r="BG349" s="1846"/>
      <c r="BH349" s="1849"/>
      <c r="BI349" s="1852"/>
      <c r="BJ349" s="1840"/>
      <c r="BK349" s="1840"/>
      <c r="BL349" s="1840"/>
      <c r="BM349" s="1840"/>
      <c r="BN349" s="1837"/>
    </row>
    <row r="350" spans="2:66" ht="13.5">
      <c r="B350" s="1215" t="s">
        <v>388</v>
      </c>
      <c r="C350" s="1223" t="str">
        <f>IF(OR(C347&gt;0,C348&gt;0,C349&gt;0),1,"")</f>
        <v/>
      </c>
      <c r="D350" s="1224" t="str">
        <f>IF(OR(D347&gt;0,D348&gt;0,D349&gt;0),1,"")</f>
        <v/>
      </c>
      <c r="E350" s="1224" t="str">
        <f t="shared" ref="E350:L350" si="177">IF(OR(E347&gt;0,E348&gt;0,E349&gt;0),1,"")</f>
        <v/>
      </c>
      <c r="F350" s="1224" t="str">
        <f t="shared" si="177"/>
        <v/>
      </c>
      <c r="G350" s="1224" t="str">
        <f t="shared" si="177"/>
        <v/>
      </c>
      <c r="H350" s="1224" t="str">
        <f t="shared" si="177"/>
        <v/>
      </c>
      <c r="I350" s="1224" t="str">
        <f t="shared" si="177"/>
        <v/>
      </c>
      <c r="J350" s="1224" t="str">
        <f t="shared" si="177"/>
        <v/>
      </c>
      <c r="K350" s="1224" t="str">
        <f t="shared" si="177"/>
        <v/>
      </c>
      <c r="L350" s="1225" t="str">
        <f t="shared" si="177"/>
        <v/>
      </c>
      <c r="M350" s="1844"/>
      <c r="N350" s="1847"/>
      <c r="O350" s="1847"/>
      <c r="P350" s="1850"/>
      <c r="Q350" s="1853"/>
      <c r="R350" s="1841"/>
      <c r="S350" s="1841"/>
      <c r="T350" s="1841"/>
      <c r="U350" s="1841"/>
      <c r="V350" s="1838"/>
      <c r="X350" s="1215" t="s">
        <v>388</v>
      </c>
      <c r="Y350" s="1223" t="str">
        <f>IF(OR(Y347&gt;0,Y348&gt;0,Y349&gt;0),1,"")</f>
        <v/>
      </c>
      <c r="Z350" s="1224" t="str">
        <f>IF(OR(Z347&gt;0,Z348&gt;0,Z349&gt;0),1,"")</f>
        <v/>
      </c>
      <c r="AA350" s="1224" t="str">
        <f t="shared" ref="AA350:AH350" si="178">IF(OR(AA347&gt;0,AA348&gt;0,AA349&gt;0),1,"")</f>
        <v/>
      </c>
      <c r="AB350" s="1224" t="str">
        <f t="shared" si="178"/>
        <v/>
      </c>
      <c r="AC350" s="1224" t="str">
        <f t="shared" si="178"/>
        <v/>
      </c>
      <c r="AD350" s="1224" t="str">
        <f t="shared" si="178"/>
        <v/>
      </c>
      <c r="AE350" s="1224" t="str">
        <f t="shared" si="178"/>
        <v/>
      </c>
      <c r="AF350" s="1224" t="str">
        <f t="shared" si="178"/>
        <v/>
      </c>
      <c r="AG350" s="1224" t="str">
        <f t="shared" si="178"/>
        <v/>
      </c>
      <c r="AH350" s="1225" t="str">
        <f t="shared" si="178"/>
        <v/>
      </c>
      <c r="AI350" s="1844"/>
      <c r="AJ350" s="1847"/>
      <c r="AK350" s="1847"/>
      <c r="AL350" s="1850"/>
      <c r="AM350" s="1853"/>
      <c r="AN350" s="1841"/>
      <c r="AO350" s="1841"/>
      <c r="AP350" s="1841"/>
      <c r="AQ350" s="1841"/>
      <c r="AR350" s="1838"/>
      <c r="AT350" s="1215" t="s">
        <v>388</v>
      </c>
      <c r="AU350" s="1223" t="str">
        <f>IF(OR(AU347&gt;0,AU348&gt;0,AU349&gt;0),1,"")</f>
        <v/>
      </c>
      <c r="AV350" s="1224" t="str">
        <f>IF(OR(AV347&gt;0,AV348&gt;0,AV349&gt;0),1,"")</f>
        <v/>
      </c>
      <c r="AW350" s="1224" t="str">
        <f t="shared" ref="AW350:BD350" si="179">IF(OR(AW347&gt;0,AW348&gt;0,AW349&gt;0),1,"")</f>
        <v/>
      </c>
      <c r="AX350" s="1224" t="str">
        <f t="shared" si="179"/>
        <v/>
      </c>
      <c r="AY350" s="1224" t="str">
        <f t="shared" si="179"/>
        <v/>
      </c>
      <c r="AZ350" s="1224" t="str">
        <f t="shared" si="179"/>
        <v/>
      </c>
      <c r="BA350" s="1224" t="str">
        <f t="shared" si="179"/>
        <v/>
      </c>
      <c r="BB350" s="1224" t="str">
        <f t="shared" si="179"/>
        <v/>
      </c>
      <c r="BC350" s="1224" t="str">
        <f t="shared" si="179"/>
        <v/>
      </c>
      <c r="BD350" s="1225" t="str">
        <f t="shared" si="179"/>
        <v/>
      </c>
      <c r="BE350" s="1844"/>
      <c r="BF350" s="1847"/>
      <c r="BG350" s="1847"/>
      <c r="BH350" s="1850"/>
      <c r="BI350" s="1853"/>
      <c r="BJ350" s="1841"/>
      <c r="BK350" s="1841"/>
      <c r="BL350" s="1841"/>
      <c r="BM350" s="1841"/>
      <c r="BN350" s="1838"/>
    </row>
  </sheetData>
  <mergeCells count="2019">
    <mergeCell ref="AT3:BN3"/>
    <mergeCell ref="C2:V2"/>
    <mergeCell ref="BM22:BM26"/>
    <mergeCell ref="BN22:BN26"/>
    <mergeCell ref="M27:M31"/>
    <mergeCell ref="N27:N31"/>
    <mergeCell ref="O27:O31"/>
    <mergeCell ref="P27:P31"/>
    <mergeCell ref="Q27:Q31"/>
    <mergeCell ref="R27:R31"/>
    <mergeCell ref="S27:S31"/>
    <mergeCell ref="T27:T31"/>
    <mergeCell ref="U27:U31"/>
    <mergeCell ref="V27:V31"/>
    <mergeCell ref="AI27:AI31"/>
    <mergeCell ref="AJ27:AJ31"/>
    <mergeCell ref="AK27:AK31"/>
    <mergeCell ref="AL27:AL31"/>
    <mergeCell ref="AM27:AM31"/>
    <mergeCell ref="AN27:AN31"/>
    <mergeCell ref="AO27:AO31"/>
    <mergeCell ref="AP27:AP31"/>
    <mergeCell ref="AQ27:AQ31"/>
    <mergeCell ref="AR27:AR31"/>
    <mergeCell ref="BE27:BE31"/>
    <mergeCell ref="BF27:BF31"/>
    <mergeCell ref="BG27:BG31"/>
    <mergeCell ref="BH27:BH31"/>
    <mergeCell ref="BI27:BI31"/>
    <mergeCell ref="BJ27:BJ31"/>
    <mergeCell ref="BK27:BK31"/>
    <mergeCell ref="BL27:BL31"/>
    <mergeCell ref="BM27:BM31"/>
    <mergeCell ref="BN27:BN31"/>
    <mergeCell ref="BK17:BK21"/>
    <mergeCell ref="BL17:BL21"/>
    <mergeCell ref="BM17:BM21"/>
    <mergeCell ref="BN17:BN21"/>
    <mergeCell ref="M22:M26"/>
    <mergeCell ref="N22:N26"/>
    <mergeCell ref="O22:O26"/>
    <mergeCell ref="P22:P26"/>
    <mergeCell ref="Q22:Q26"/>
    <mergeCell ref="R22:R26"/>
    <mergeCell ref="S22:S26"/>
    <mergeCell ref="T22:T26"/>
    <mergeCell ref="U22:U26"/>
    <mergeCell ref="V22:V26"/>
    <mergeCell ref="AI22:AI26"/>
    <mergeCell ref="AJ22:AJ26"/>
    <mergeCell ref="AK22:AK26"/>
    <mergeCell ref="AL22:AL26"/>
    <mergeCell ref="AM22:AM26"/>
    <mergeCell ref="AN22:AN26"/>
    <mergeCell ref="AO22:AO26"/>
    <mergeCell ref="AP22:AP26"/>
    <mergeCell ref="AQ22:AQ26"/>
    <mergeCell ref="AR22:AR26"/>
    <mergeCell ref="BE22:BE26"/>
    <mergeCell ref="BF22:BF26"/>
    <mergeCell ref="BG22:BG26"/>
    <mergeCell ref="BH22:BH26"/>
    <mergeCell ref="BI22:BI26"/>
    <mergeCell ref="BJ22:BJ26"/>
    <mergeCell ref="BK22:BK26"/>
    <mergeCell ref="BL22:BL26"/>
    <mergeCell ref="BI12:BI16"/>
    <mergeCell ref="BJ12:BJ16"/>
    <mergeCell ref="BK12:BK16"/>
    <mergeCell ref="BL12:BL16"/>
    <mergeCell ref="BM12:BM16"/>
    <mergeCell ref="BN12:BN16"/>
    <mergeCell ref="M17:M21"/>
    <mergeCell ref="N17:N21"/>
    <mergeCell ref="O17:O21"/>
    <mergeCell ref="P17:P21"/>
    <mergeCell ref="Q17:Q21"/>
    <mergeCell ref="R17:R21"/>
    <mergeCell ref="S17:S21"/>
    <mergeCell ref="T17:T21"/>
    <mergeCell ref="U17:U21"/>
    <mergeCell ref="V17:V21"/>
    <mergeCell ref="AI17:AI21"/>
    <mergeCell ref="AJ17:AJ21"/>
    <mergeCell ref="AK17:AK21"/>
    <mergeCell ref="AL17:AL21"/>
    <mergeCell ref="AM17:AM21"/>
    <mergeCell ref="AN17:AN21"/>
    <mergeCell ref="AO17:AO21"/>
    <mergeCell ref="AP17:AP21"/>
    <mergeCell ref="AQ17:AQ21"/>
    <mergeCell ref="AR17:AR21"/>
    <mergeCell ref="BE17:BE21"/>
    <mergeCell ref="BF17:BF21"/>
    <mergeCell ref="BG17:BG21"/>
    <mergeCell ref="BH17:BH21"/>
    <mergeCell ref="BI17:BI21"/>
    <mergeCell ref="BJ17:BJ21"/>
    <mergeCell ref="BG7:BG11"/>
    <mergeCell ref="BH7:BH11"/>
    <mergeCell ref="BI7:BI11"/>
    <mergeCell ref="BJ7:BJ11"/>
    <mergeCell ref="BK7:BK11"/>
    <mergeCell ref="BL7:BL11"/>
    <mergeCell ref="BM7:BM11"/>
    <mergeCell ref="BN7:BN11"/>
    <mergeCell ref="M12:M16"/>
    <mergeCell ref="N12:N16"/>
    <mergeCell ref="O12:O16"/>
    <mergeCell ref="P12:P16"/>
    <mergeCell ref="Q12:Q16"/>
    <mergeCell ref="R12:R16"/>
    <mergeCell ref="S12:S16"/>
    <mergeCell ref="T12:T16"/>
    <mergeCell ref="U12:U16"/>
    <mergeCell ref="V12:V16"/>
    <mergeCell ref="AI12:AI16"/>
    <mergeCell ref="AJ12:AJ16"/>
    <mergeCell ref="AK12:AK16"/>
    <mergeCell ref="AL12:AL16"/>
    <mergeCell ref="AM12:AM16"/>
    <mergeCell ref="AN12:AN16"/>
    <mergeCell ref="AO12:AO16"/>
    <mergeCell ref="AP12:AP16"/>
    <mergeCell ref="AQ12:AQ16"/>
    <mergeCell ref="AR12:AR16"/>
    <mergeCell ref="BE12:BE16"/>
    <mergeCell ref="BF12:BF16"/>
    <mergeCell ref="BG12:BG16"/>
    <mergeCell ref="BH12:BH16"/>
    <mergeCell ref="BH56:BH60"/>
    <mergeCell ref="BI56:BI60"/>
    <mergeCell ref="BJ56:BJ60"/>
    <mergeCell ref="BK56:BK60"/>
    <mergeCell ref="BL56:BL60"/>
    <mergeCell ref="BM56:BM60"/>
    <mergeCell ref="BN56:BN60"/>
    <mergeCell ref="M5:Q5"/>
    <mergeCell ref="R5:R6"/>
    <mergeCell ref="S5:S6"/>
    <mergeCell ref="T5:T6"/>
    <mergeCell ref="U5:U6"/>
    <mergeCell ref="V5:V6"/>
    <mergeCell ref="AI5:AM5"/>
    <mergeCell ref="AN5:AN6"/>
    <mergeCell ref="AO5:AO6"/>
    <mergeCell ref="AP5:AP6"/>
    <mergeCell ref="AQ5:AQ6"/>
    <mergeCell ref="AR5:AR6"/>
    <mergeCell ref="BE5:BI5"/>
    <mergeCell ref="BJ5:BJ6"/>
    <mergeCell ref="BK5:BK6"/>
    <mergeCell ref="BL5:BL6"/>
    <mergeCell ref="BM5:BM6"/>
    <mergeCell ref="BN5:BN6"/>
    <mergeCell ref="M7:M11"/>
    <mergeCell ref="N7:N11"/>
    <mergeCell ref="O7:O11"/>
    <mergeCell ref="P7:P11"/>
    <mergeCell ref="Q7:Q11"/>
    <mergeCell ref="R7:R11"/>
    <mergeCell ref="S7:S11"/>
    <mergeCell ref="BF51:BF55"/>
    <mergeCell ref="BG51:BG55"/>
    <mergeCell ref="BH51:BH55"/>
    <mergeCell ref="BI51:BI55"/>
    <mergeCell ref="BJ51:BJ55"/>
    <mergeCell ref="BK51:BK55"/>
    <mergeCell ref="BL51:BL55"/>
    <mergeCell ref="BM51:BM55"/>
    <mergeCell ref="BN51:BN55"/>
    <mergeCell ref="M56:M60"/>
    <mergeCell ref="N56:N60"/>
    <mergeCell ref="O56:O60"/>
    <mergeCell ref="P56:P60"/>
    <mergeCell ref="Q56:Q60"/>
    <mergeCell ref="R56:R60"/>
    <mergeCell ref="S56:S60"/>
    <mergeCell ref="T56:T60"/>
    <mergeCell ref="U56:U60"/>
    <mergeCell ref="V56:V60"/>
    <mergeCell ref="AI56:AI60"/>
    <mergeCell ref="AJ56:AJ60"/>
    <mergeCell ref="AK56:AK60"/>
    <mergeCell ref="AL56:AL60"/>
    <mergeCell ref="AM56:AM60"/>
    <mergeCell ref="AN56:AN60"/>
    <mergeCell ref="AO56:AO60"/>
    <mergeCell ref="AP56:AP60"/>
    <mergeCell ref="AQ56:AQ60"/>
    <mergeCell ref="AR56:AR60"/>
    <mergeCell ref="BE56:BE60"/>
    <mergeCell ref="BF56:BF60"/>
    <mergeCell ref="BG56:BG60"/>
    <mergeCell ref="AR46:AR50"/>
    <mergeCell ref="BE46:BE50"/>
    <mergeCell ref="BF46:BF50"/>
    <mergeCell ref="BG46:BG50"/>
    <mergeCell ref="BH46:BH50"/>
    <mergeCell ref="BI46:BI50"/>
    <mergeCell ref="BJ46:BJ50"/>
    <mergeCell ref="BK46:BK50"/>
    <mergeCell ref="BL46:BL50"/>
    <mergeCell ref="BM46:BM50"/>
    <mergeCell ref="BN46:BN50"/>
    <mergeCell ref="M51:M55"/>
    <mergeCell ref="N51:N55"/>
    <mergeCell ref="O51:O55"/>
    <mergeCell ref="P51:P55"/>
    <mergeCell ref="Q51:Q55"/>
    <mergeCell ref="R51:R55"/>
    <mergeCell ref="S51:S55"/>
    <mergeCell ref="T51:T55"/>
    <mergeCell ref="U51:U55"/>
    <mergeCell ref="V51:V55"/>
    <mergeCell ref="AI51:AI55"/>
    <mergeCell ref="AJ51:AJ55"/>
    <mergeCell ref="AK51:AK55"/>
    <mergeCell ref="AL51:AL55"/>
    <mergeCell ref="AM51:AM55"/>
    <mergeCell ref="AN51:AN55"/>
    <mergeCell ref="AO51:AO55"/>
    <mergeCell ref="AP51:AP55"/>
    <mergeCell ref="AQ51:AQ55"/>
    <mergeCell ref="AR51:AR55"/>
    <mergeCell ref="BE51:BE55"/>
    <mergeCell ref="AP41:AP45"/>
    <mergeCell ref="AQ41:AQ45"/>
    <mergeCell ref="AR41:AR45"/>
    <mergeCell ref="BE41:BE45"/>
    <mergeCell ref="BF41:BF45"/>
    <mergeCell ref="BG41:BG45"/>
    <mergeCell ref="BH41:BH45"/>
    <mergeCell ref="BI41:BI45"/>
    <mergeCell ref="BJ41:BJ45"/>
    <mergeCell ref="BK41:BK45"/>
    <mergeCell ref="BL41:BL45"/>
    <mergeCell ref="BM41:BM45"/>
    <mergeCell ref="BN41:BN45"/>
    <mergeCell ref="M46:M50"/>
    <mergeCell ref="N46:N50"/>
    <mergeCell ref="O46:O50"/>
    <mergeCell ref="P46:P50"/>
    <mergeCell ref="Q46:Q50"/>
    <mergeCell ref="R46:R50"/>
    <mergeCell ref="S46:S50"/>
    <mergeCell ref="T46:T50"/>
    <mergeCell ref="U46:U50"/>
    <mergeCell ref="V46:V50"/>
    <mergeCell ref="AI46:AI50"/>
    <mergeCell ref="AJ46:AJ50"/>
    <mergeCell ref="AK46:AK50"/>
    <mergeCell ref="AL46:AL50"/>
    <mergeCell ref="AM46:AM50"/>
    <mergeCell ref="AN46:AN50"/>
    <mergeCell ref="AO46:AO50"/>
    <mergeCell ref="AP46:AP50"/>
    <mergeCell ref="AQ46:AQ50"/>
    <mergeCell ref="M41:M45"/>
    <mergeCell ref="N41:N45"/>
    <mergeCell ref="O41:O45"/>
    <mergeCell ref="P41:P45"/>
    <mergeCell ref="Q41:Q45"/>
    <mergeCell ref="R41:R45"/>
    <mergeCell ref="S41:S45"/>
    <mergeCell ref="T41:T45"/>
    <mergeCell ref="U41:U45"/>
    <mergeCell ref="V41:V45"/>
    <mergeCell ref="AI41:AI45"/>
    <mergeCell ref="AJ41:AJ45"/>
    <mergeCell ref="AK41:AK45"/>
    <mergeCell ref="AL41:AL45"/>
    <mergeCell ref="AM41:AM45"/>
    <mergeCell ref="AN41:AN45"/>
    <mergeCell ref="AO41:AO45"/>
    <mergeCell ref="BM34:BM35"/>
    <mergeCell ref="BN34:BN35"/>
    <mergeCell ref="M36:M40"/>
    <mergeCell ref="N36:N40"/>
    <mergeCell ref="O36:O40"/>
    <mergeCell ref="P36:P40"/>
    <mergeCell ref="Q36:Q40"/>
    <mergeCell ref="R36:R40"/>
    <mergeCell ref="S36:S40"/>
    <mergeCell ref="T36:T40"/>
    <mergeCell ref="U36:U40"/>
    <mergeCell ref="V36:V40"/>
    <mergeCell ref="AI36:AI40"/>
    <mergeCell ref="AJ36:AJ40"/>
    <mergeCell ref="AK36:AK40"/>
    <mergeCell ref="AL36:AL40"/>
    <mergeCell ref="AM36:AM40"/>
    <mergeCell ref="AN36:AN40"/>
    <mergeCell ref="AO36:AO40"/>
    <mergeCell ref="AP36:AP40"/>
    <mergeCell ref="AQ36:AQ40"/>
    <mergeCell ref="AR36:AR40"/>
    <mergeCell ref="BE36:BE40"/>
    <mergeCell ref="BF36:BF40"/>
    <mergeCell ref="BG36:BG40"/>
    <mergeCell ref="BH36:BH40"/>
    <mergeCell ref="BI36:BI40"/>
    <mergeCell ref="BJ36:BJ40"/>
    <mergeCell ref="BK36:BK40"/>
    <mergeCell ref="BL36:BL40"/>
    <mergeCell ref="BM36:BM40"/>
    <mergeCell ref="BN36:BN40"/>
    <mergeCell ref="B1:V1"/>
    <mergeCell ref="M34:Q34"/>
    <mergeCell ref="R34:R35"/>
    <mergeCell ref="S34:S35"/>
    <mergeCell ref="T34:T35"/>
    <mergeCell ref="U34:U35"/>
    <mergeCell ref="V34:V35"/>
    <mergeCell ref="AI34:AM34"/>
    <mergeCell ref="AN34:AN35"/>
    <mergeCell ref="AO34:AO35"/>
    <mergeCell ref="AP34:AP35"/>
    <mergeCell ref="AQ34:AQ35"/>
    <mergeCell ref="AR34:AR35"/>
    <mergeCell ref="BE34:BI34"/>
    <mergeCell ref="BJ34:BJ35"/>
    <mergeCell ref="BK34:BK35"/>
    <mergeCell ref="BL34:BL35"/>
    <mergeCell ref="T7:T11"/>
    <mergeCell ref="U7:U11"/>
    <mergeCell ref="V7:V11"/>
    <mergeCell ref="AI7:AI11"/>
    <mergeCell ref="AJ7:AJ11"/>
    <mergeCell ref="AK7:AK11"/>
    <mergeCell ref="AL7:AL11"/>
    <mergeCell ref="AM7:AM11"/>
    <mergeCell ref="AN7:AN11"/>
    <mergeCell ref="AO7:AO11"/>
    <mergeCell ref="AP7:AP11"/>
    <mergeCell ref="AQ7:AQ11"/>
    <mergeCell ref="AR7:AR11"/>
    <mergeCell ref="BE7:BE11"/>
    <mergeCell ref="BF7:BF11"/>
    <mergeCell ref="Q99:Q103"/>
    <mergeCell ref="T99:T103"/>
    <mergeCell ref="U99:U103"/>
    <mergeCell ref="V99:V103"/>
    <mergeCell ref="R104:R108"/>
    <mergeCell ref="M92:Q92"/>
    <mergeCell ref="M94:M98"/>
    <mergeCell ref="N94:N98"/>
    <mergeCell ref="O94:O98"/>
    <mergeCell ref="P94:P98"/>
    <mergeCell ref="Q94:Q98"/>
    <mergeCell ref="AI92:AM92"/>
    <mergeCell ref="AI94:AI98"/>
    <mergeCell ref="AJ94:AJ98"/>
    <mergeCell ref="AK94:AK98"/>
    <mergeCell ref="AL94:AL98"/>
    <mergeCell ref="AM94:AM98"/>
    <mergeCell ref="R99:R103"/>
    <mergeCell ref="S99:S103"/>
    <mergeCell ref="M99:M103"/>
    <mergeCell ref="N99:N103"/>
    <mergeCell ref="O99:O103"/>
    <mergeCell ref="P99:P103"/>
    <mergeCell ref="R92:R93"/>
    <mergeCell ref="S92:S93"/>
    <mergeCell ref="T92:T93"/>
    <mergeCell ref="U92:U93"/>
    <mergeCell ref="V92:V93"/>
    <mergeCell ref="R94:R98"/>
    <mergeCell ref="S94:S98"/>
    <mergeCell ref="T94:T98"/>
    <mergeCell ref="U94:U98"/>
    <mergeCell ref="M114:M118"/>
    <mergeCell ref="N114:N118"/>
    <mergeCell ref="O114:O118"/>
    <mergeCell ref="P114:P118"/>
    <mergeCell ref="Q114:Q118"/>
    <mergeCell ref="R114:R118"/>
    <mergeCell ref="S114:S118"/>
    <mergeCell ref="M109:M113"/>
    <mergeCell ref="N109:N113"/>
    <mergeCell ref="O109:O113"/>
    <mergeCell ref="P109:P113"/>
    <mergeCell ref="Q109:Q113"/>
    <mergeCell ref="T114:T118"/>
    <mergeCell ref="U114:U118"/>
    <mergeCell ref="V114:V118"/>
    <mergeCell ref="M104:M108"/>
    <mergeCell ref="N104:N108"/>
    <mergeCell ref="O104:O108"/>
    <mergeCell ref="P104:P108"/>
    <mergeCell ref="Q104:Q108"/>
    <mergeCell ref="AM109:AM113"/>
    <mergeCell ref="AP114:AP118"/>
    <mergeCell ref="AQ114:AQ118"/>
    <mergeCell ref="AR114:AR118"/>
    <mergeCell ref="AI104:AI108"/>
    <mergeCell ref="AJ104:AJ108"/>
    <mergeCell ref="AK104:AK108"/>
    <mergeCell ref="AL104:AL108"/>
    <mergeCell ref="AM104:AM108"/>
    <mergeCell ref="AN99:AN103"/>
    <mergeCell ref="AO99:AO103"/>
    <mergeCell ref="AI99:AI103"/>
    <mergeCell ref="AJ99:AJ103"/>
    <mergeCell ref="AK99:AK103"/>
    <mergeCell ref="AL99:AL103"/>
    <mergeCell ref="AM99:AM103"/>
    <mergeCell ref="AP99:AP103"/>
    <mergeCell ref="AQ99:AQ103"/>
    <mergeCell ref="AR99:AR103"/>
    <mergeCell ref="AN104:AN108"/>
    <mergeCell ref="BM114:BM118"/>
    <mergeCell ref="BN114:BN118"/>
    <mergeCell ref="BE104:BE108"/>
    <mergeCell ref="BF104:BF108"/>
    <mergeCell ref="BG104:BG108"/>
    <mergeCell ref="BH104:BH108"/>
    <mergeCell ref="BI104:BI108"/>
    <mergeCell ref="BJ99:BJ103"/>
    <mergeCell ref="BK99:BK103"/>
    <mergeCell ref="BE99:BE103"/>
    <mergeCell ref="BF99:BF103"/>
    <mergeCell ref="BG99:BG103"/>
    <mergeCell ref="BH99:BH103"/>
    <mergeCell ref="BI99:BI103"/>
    <mergeCell ref="BL99:BL103"/>
    <mergeCell ref="BM99:BM103"/>
    <mergeCell ref="BN99:BN103"/>
    <mergeCell ref="BJ104:BJ108"/>
    <mergeCell ref="V94:V98"/>
    <mergeCell ref="BE114:BE118"/>
    <mergeCell ref="BF114:BF118"/>
    <mergeCell ref="BG114:BG118"/>
    <mergeCell ref="BH114:BH118"/>
    <mergeCell ref="BI114:BI118"/>
    <mergeCell ref="BJ114:BJ118"/>
    <mergeCell ref="BK114:BK118"/>
    <mergeCell ref="BE109:BE113"/>
    <mergeCell ref="BF109:BF113"/>
    <mergeCell ref="BG109:BG113"/>
    <mergeCell ref="BH109:BH113"/>
    <mergeCell ref="BI109:BI113"/>
    <mergeCell ref="BE92:BI92"/>
    <mergeCell ref="BE94:BE98"/>
    <mergeCell ref="BF94:BF98"/>
    <mergeCell ref="BG94:BG98"/>
    <mergeCell ref="BH94:BH98"/>
    <mergeCell ref="BI94:BI98"/>
    <mergeCell ref="AI114:AI118"/>
    <mergeCell ref="AJ114:AJ118"/>
    <mergeCell ref="AK114:AK118"/>
    <mergeCell ref="AL114:AL118"/>
    <mergeCell ref="BJ92:BJ93"/>
    <mergeCell ref="BK92:BK93"/>
    <mergeCell ref="AM114:AM118"/>
    <mergeCell ref="AN114:AN118"/>
    <mergeCell ref="AO114:AO118"/>
    <mergeCell ref="AI109:AI113"/>
    <mergeCell ref="AJ109:AJ113"/>
    <mergeCell ref="AK109:AK113"/>
    <mergeCell ref="AL109:AL113"/>
    <mergeCell ref="BL92:BL93"/>
    <mergeCell ref="BM92:BM93"/>
    <mergeCell ref="BN92:BN93"/>
    <mergeCell ref="BJ94:BJ98"/>
    <mergeCell ref="BK94:BK98"/>
    <mergeCell ref="BL94:BL98"/>
    <mergeCell ref="BM94:BM98"/>
    <mergeCell ref="BN94:BN98"/>
    <mergeCell ref="AO104:AO108"/>
    <mergeCell ref="AP104:AP108"/>
    <mergeCell ref="AQ104:AQ108"/>
    <mergeCell ref="AR104:AR108"/>
    <mergeCell ref="AN109:AN113"/>
    <mergeCell ref="AO109:AO113"/>
    <mergeCell ref="AP109:AP113"/>
    <mergeCell ref="AQ109:AQ113"/>
    <mergeCell ref="AR109:AR113"/>
    <mergeCell ref="AN92:AN93"/>
    <mergeCell ref="AO92:AO93"/>
    <mergeCell ref="AP92:AP93"/>
    <mergeCell ref="AQ92:AQ93"/>
    <mergeCell ref="AR92:AR93"/>
    <mergeCell ref="AN94:AN98"/>
    <mergeCell ref="AO94:AO98"/>
    <mergeCell ref="AP94:AP98"/>
    <mergeCell ref="AQ94:AQ98"/>
    <mergeCell ref="AR94:AR98"/>
    <mergeCell ref="BN121:BN122"/>
    <mergeCell ref="AI121:AM121"/>
    <mergeCell ref="AN121:AN122"/>
    <mergeCell ref="AO121:AO122"/>
    <mergeCell ref="AP121:AP122"/>
    <mergeCell ref="AQ121:AQ122"/>
    <mergeCell ref="AR121:AR122"/>
    <mergeCell ref="M121:Q121"/>
    <mergeCell ref="R121:R122"/>
    <mergeCell ref="S121:S122"/>
    <mergeCell ref="T121:T122"/>
    <mergeCell ref="U121:U122"/>
    <mergeCell ref="V121:V122"/>
    <mergeCell ref="BK104:BK108"/>
    <mergeCell ref="BL104:BL108"/>
    <mergeCell ref="BM104:BM108"/>
    <mergeCell ref="BN104:BN108"/>
    <mergeCell ref="BJ109:BJ113"/>
    <mergeCell ref="BK109:BK113"/>
    <mergeCell ref="BL109:BL113"/>
    <mergeCell ref="BM109:BM113"/>
    <mergeCell ref="BN109:BN113"/>
    <mergeCell ref="S104:S108"/>
    <mergeCell ref="T104:T108"/>
    <mergeCell ref="U104:U108"/>
    <mergeCell ref="V104:V108"/>
    <mergeCell ref="R109:R113"/>
    <mergeCell ref="S109:S113"/>
    <mergeCell ref="T109:T113"/>
    <mergeCell ref="U109:U113"/>
    <mergeCell ref="V109:V113"/>
    <mergeCell ref="BL114:BL118"/>
    <mergeCell ref="S123:S127"/>
    <mergeCell ref="T123:T127"/>
    <mergeCell ref="U123:U127"/>
    <mergeCell ref="V123:V127"/>
    <mergeCell ref="AI123:AI127"/>
    <mergeCell ref="AJ123:AJ127"/>
    <mergeCell ref="M123:M127"/>
    <mergeCell ref="N123:N127"/>
    <mergeCell ref="O123:O127"/>
    <mergeCell ref="P123:P127"/>
    <mergeCell ref="Q123:Q127"/>
    <mergeCell ref="R123:R127"/>
    <mergeCell ref="BE121:BI121"/>
    <mergeCell ref="BJ121:BJ122"/>
    <mergeCell ref="BK121:BK122"/>
    <mergeCell ref="BL121:BL122"/>
    <mergeCell ref="BM121:BM122"/>
    <mergeCell ref="BI123:BI127"/>
    <mergeCell ref="BJ123:BJ127"/>
    <mergeCell ref="BK123:BK127"/>
    <mergeCell ref="BL123:BL127"/>
    <mergeCell ref="BM123:BM127"/>
    <mergeCell ref="BN123:BN127"/>
    <mergeCell ref="AQ123:AQ127"/>
    <mergeCell ref="AR123:AR127"/>
    <mergeCell ref="BE123:BE127"/>
    <mergeCell ref="BF123:BF127"/>
    <mergeCell ref="BG123:BG127"/>
    <mergeCell ref="BH123:BH127"/>
    <mergeCell ref="AK123:AK127"/>
    <mergeCell ref="AL123:AL127"/>
    <mergeCell ref="AM123:AM127"/>
    <mergeCell ref="AN123:AN127"/>
    <mergeCell ref="AO123:AO127"/>
    <mergeCell ref="AP123:AP127"/>
    <mergeCell ref="BN128:BN132"/>
    <mergeCell ref="AQ128:AQ132"/>
    <mergeCell ref="AR128:AR132"/>
    <mergeCell ref="BE128:BE132"/>
    <mergeCell ref="BF128:BF132"/>
    <mergeCell ref="BG128:BG132"/>
    <mergeCell ref="BH128:BH132"/>
    <mergeCell ref="AK128:AK132"/>
    <mergeCell ref="AL128:AL132"/>
    <mergeCell ref="AM128:AM132"/>
    <mergeCell ref="AN128:AN132"/>
    <mergeCell ref="AO128:AO132"/>
    <mergeCell ref="AP128:AP132"/>
    <mergeCell ref="BI128:BI132"/>
    <mergeCell ref="BJ128:BJ132"/>
    <mergeCell ref="BK128:BK132"/>
    <mergeCell ref="BL128:BL132"/>
    <mergeCell ref="BM128:BM132"/>
    <mergeCell ref="S128:S132"/>
    <mergeCell ref="T128:T132"/>
    <mergeCell ref="U128:U132"/>
    <mergeCell ref="V128:V132"/>
    <mergeCell ref="AI128:AI132"/>
    <mergeCell ref="AJ128:AJ132"/>
    <mergeCell ref="S133:S137"/>
    <mergeCell ref="T133:T137"/>
    <mergeCell ref="U133:U137"/>
    <mergeCell ref="V133:V137"/>
    <mergeCell ref="AI133:AI137"/>
    <mergeCell ref="AJ133:AJ137"/>
    <mergeCell ref="M133:M137"/>
    <mergeCell ref="N133:N137"/>
    <mergeCell ref="O133:O137"/>
    <mergeCell ref="P133:P137"/>
    <mergeCell ref="Q133:Q137"/>
    <mergeCell ref="R133:R137"/>
    <mergeCell ref="M128:M132"/>
    <mergeCell ref="N128:N132"/>
    <mergeCell ref="O128:O132"/>
    <mergeCell ref="P128:P132"/>
    <mergeCell ref="Q128:Q132"/>
    <mergeCell ref="R128:R132"/>
    <mergeCell ref="BI133:BI137"/>
    <mergeCell ref="BJ133:BJ137"/>
    <mergeCell ref="BK133:BK137"/>
    <mergeCell ref="BL133:BL137"/>
    <mergeCell ref="BM133:BM137"/>
    <mergeCell ref="BN133:BN137"/>
    <mergeCell ref="AQ133:AQ137"/>
    <mergeCell ref="AR133:AR137"/>
    <mergeCell ref="BE133:BE137"/>
    <mergeCell ref="BF133:BF137"/>
    <mergeCell ref="BG133:BG137"/>
    <mergeCell ref="BH133:BH137"/>
    <mergeCell ref="AK133:AK137"/>
    <mergeCell ref="AL133:AL137"/>
    <mergeCell ref="AM133:AM137"/>
    <mergeCell ref="AN133:AN137"/>
    <mergeCell ref="AO133:AO137"/>
    <mergeCell ref="AP133:AP137"/>
    <mergeCell ref="BN138:BN142"/>
    <mergeCell ref="AQ138:AQ142"/>
    <mergeCell ref="AR138:AR142"/>
    <mergeCell ref="BE138:BE142"/>
    <mergeCell ref="BF138:BF142"/>
    <mergeCell ref="BG138:BG142"/>
    <mergeCell ref="BH138:BH142"/>
    <mergeCell ref="AK138:AK142"/>
    <mergeCell ref="AL138:AL142"/>
    <mergeCell ref="AM138:AM142"/>
    <mergeCell ref="AN138:AN142"/>
    <mergeCell ref="AO138:AO142"/>
    <mergeCell ref="AP138:AP142"/>
    <mergeCell ref="S138:S142"/>
    <mergeCell ref="T138:T142"/>
    <mergeCell ref="U138:U142"/>
    <mergeCell ref="V138:V142"/>
    <mergeCell ref="AI138:AI142"/>
    <mergeCell ref="AJ138:AJ142"/>
    <mergeCell ref="S143:S147"/>
    <mergeCell ref="T143:T147"/>
    <mergeCell ref="U143:U147"/>
    <mergeCell ref="V143:V147"/>
    <mergeCell ref="AI143:AI147"/>
    <mergeCell ref="AJ143:AJ147"/>
    <mergeCell ref="M143:M147"/>
    <mergeCell ref="N143:N147"/>
    <mergeCell ref="O143:O147"/>
    <mergeCell ref="P143:P147"/>
    <mergeCell ref="Q143:Q147"/>
    <mergeCell ref="R143:R147"/>
    <mergeCell ref="BI138:BI142"/>
    <mergeCell ref="BJ138:BJ142"/>
    <mergeCell ref="BK138:BK142"/>
    <mergeCell ref="BL138:BL142"/>
    <mergeCell ref="BM138:BM142"/>
    <mergeCell ref="M138:M142"/>
    <mergeCell ref="N138:N142"/>
    <mergeCell ref="O138:O142"/>
    <mergeCell ref="P138:P142"/>
    <mergeCell ref="Q138:Q142"/>
    <mergeCell ref="R138:R142"/>
    <mergeCell ref="BI143:BI147"/>
    <mergeCell ref="BJ143:BJ147"/>
    <mergeCell ref="BK143:BK147"/>
    <mergeCell ref="BL143:BL147"/>
    <mergeCell ref="BM143:BM147"/>
    <mergeCell ref="BN143:BN147"/>
    <mergeCell ref="AQ143:AQ147"/>
    <mergeCell ref="AR143:AR147"/>
    <mergeCell ref="BE143:BE147"/>
    <mergeCell ref="BF143:BF147"/>
    <mergeCell ref="BG143:BG147"/>
    <mergeCell ref="BH143:BH147"/>
    <mergeCell ref="AK143:AK147"/>
    <mergeCell ref="AL143:AL147"/>
    <mergeCell ref="AM143:AM147"/>
    <mergeCell ref="AN143:AN147"/>
    <mergeCell ref="AO143:AO147"/>
    <mergeCell ref="AP143:AP147"/>
    <mergeCell ref="M152:M156"/>
    <mergeCell ref="N152:N156"/>
    <mergeCell ref="O152:O156"/>
    <mergeCell ref="P152:P156"/>
    <mergeCell ref="Q152:Q156"/>
    <mergeCell ref="R152:R156"/>
    <mergeCell ref="BE150:BI150"/>
    <mergeCell ref="BJ150:BJ151"/>
    <mergeCell ref="BK150:BK151"/>
    <mergeCell ref="BL150:BL151"/>
    <mergeCell ref="BM150:BM151"/>
    <mergeCell ref="BN150:BN151"/>
    <mergeCell ref="AI150:AM150"/>
    <mergeCell ref="AN150:AN151"/>
    <mergeCell ref="AO150:AO151"/>
    <mergeCell ref="AP150:AP151"/>
    <mergeCell ref="AQ150:AQ151"/>
    <mergeCell ref="AR150:AR151"/>
    <mergeCell ref="M150:Q150"/>
    <mergeCell ref="R150:R151"/>
    <mergeCell ref="S150:S151"/>
    <mergeCell ref="T150:T151"/>
    <mergeCell ref="U150:U151"/>
    <mergeCell ref="V150:V151"/>
    <mergeCell ref="N157:N161"/>
    <mergeCell ref="O157:O161"/>
    <mergeCell ref="P157:P161"/>
    <mergeCell ref="Q157:Q161"/>
    <mergeCell ref="R157:R161"/>
    <mergeCell ref="BI152:BI156"/>
    <mergeCell ref="BJ152:BJ156"/>
    <mergeCell ref="BK152:BK156"/>
    <mergeCell ref="BL152:BL156"/>
    <mergeCell ref="BM152:BM156"/>
    <mergeCell ref="BN152:BN156"/>
    <mergeCell ref="AQ152:AQ156"/>
    <mergeCell ref="AR152:AR156"/>
    <mergeCell ref="BE152:BE156"/>
    <mergeCell ref="BF152:BF156"/>
    <mergeCell ref="BG152:BG156"/>
    <mergeCell ref="BH152:BH156"/>
    <mergeCell ref="AK152:AK156"/>
    <mergeCell ref="AL152:AL156"/>
    <mergeCell ref="AM152:AM156"/>
    <mergeCell ref="AN152:AN156"/>
    <mergeCell ref="AO152:AO156"/>
    <mergeCell ref="AP152:AP156"/>
    <mergeCell ref="S152:S156"/>
    <mergeCell ref="T152:T156"/>
    <mergeCell ref="U152:U156"/>
    <mergeCell ref="V152:V156"/>
    <mergeCell ref="AI152:AI156"/>
    <mergeCell ref="AJ152:AJ156"/>
    <mergeCell ref="AJ162:AJ166"/>
    <mergeCell ref="M162:M166"/>
    <mergeCell ref="N162:N166"/>
    <mergeCell ref="O162:O166"/>
    <mergeCell ref="P162:P166"/>
    <mergeCell ref="Q162:Q166"/>
    <mergeCell ref="R162:R166"/>
    <mergeCell ref="BI157:BI161"/>
    <mergeCell ref="BJ157:BJ161"/>
    <mergeCell ref="BK157:BK161"/>
    <mergeCell ref="BL157:BL161"/>
    <mergeCell ref="BM157:BM161"/>
    <mergeCell ref="BN157:BN161"/>
    <mergeCell ref="AQ157:AQ161"/>
    <mergeCell ref="AR157:AR161"/>
    <mergeCell ref="BE157:BE161"/>
    <mergeCell ref="BF157:BF161"/>
    <mergeCell ref="BG157:BG161"/>
    <mergeCell ref="BH157:BH161"/>
    <mergeCell ref="AK157:AK161"/>
    <mergeCell ref="AL157:AL161"/>
    <mergeCell ref="AM157:AM161"/>
    <mergeCell ref="AN157:AN161"/>
    <mergeCell ref="AO157:AO161"/>
    <mergeCell ref="AP157:AP161"/>
    <mergeCell ref="S157:S161"/>
    <mergeCell ref="T157:T161"/>
    <mergeCell ref="U157:U161"/>
    <mergeCell ref="V157:V161"/>
    <mergeCell ref="AI157:AI161"/>
    <mergeCell ref="AJ157:AJ161"/>
    <mergeCell ref="M157:M161"/>
    <mergeCell ref="V167:V171"/>
    <mergeCell ref="AI167:AI171"/>
    <mergeCell ref="AJ167:AJ171"/>
    <mergeCell ref="M167:M171"/>
    <mergeCell ref="N167:N171"/>
    <mergeCell ref="O167:O171"/>
    <mergeCell ref="P167:P171"/>
    <mergeCell ref="Q167:Q171"/>
    <mergeCell ref="R167:R171"/>
    <mergeCell ref="BI162:BI166"/>
    <mergeCell ref="BJ162:BJ166"/>
    <mergeCell ref="BK162:BK166"/>
    <mergeCell ref="BL162:BL166"/>
    <mergeCell ref="BM162:BM166"/>
    <mergeCell ref="BN162:BN166"/>
    <mergeCell ref="AQ162:AQ166"/>
    <mergeCell ref="AR162:AR166"/>
    <mergeCell ref="BE162:BE166"/>
    <mergeCell ref="BF162:BF166"/>
    <mergeCell ref="BG162:BG166"/>
    <mergeCell ref="BH162:BH166"/>
    <mergeCell ref="AK162:AK166"/>
    <mergeCell ref="AL162:AL166"/>
    <mergeCell ref="AM162:AM166"/>
    <mergeCell ref="AN162:AN166"/>
    <mergeCell ref="AO162:AO166"/>
    <mergeCell ref="AP162:AP166"/>
    <mergeCell ref="S162:S166"/>
    <mergeCell ref="T162:T166"/>
    <mergeCell ref="U162:U166"/>
    <mergeCell ref="V162:V166"/>
    <mergeCell ref="AI162:AI166"/>
    <mergeCell ref="T172:T176"/>
    <mergeCell ref="U172:U176"/>
    <mergeCell ref="V172:V176"/>
    <mergeCell ref="AI172:AI176"/>
    <mergeCell ref="AJ172:AJ176"/>
    <mergeCell ref="M172:M176"/>
    <mergeCell ref="N172:N176"/>
    <mergeCell ref="O172:O176"/>
    <mergeCell ref="P172:P176"/>
    <mergeCell ref="Q172:Q176"/>
    <mergeCell ref="R172:R176"/>
    <mergeCell ref="BI167:BI171"/>
    <mergeCell ref="BJ167:BJ171"/>
    <mergeCell ref="BK167:BK171"/>
    <mergeCell ref="BL167:BL171"/>
    <mergeCell ref="BM167:BM171"/>
    <mergeCell ref="BN167:BN171"/>
    <mergeCell ref="AQ167:AQ171"/>
    <mergeCell ref="AR167:AR171"/>
    <mergeCell ref="BE167:BE171"/>
    <mergeCell ref="BF167:BF171"/>
    <mergeCell ref="BG167:BG171"/>
    <mergeCell ref="BH167:BH171"/>
    <mergeCell ref="AK167:AK171"/>
    <mergeCell ref="AL167:AL171"/>
    <mergeCell ref="AM167:AM171"/>
    <mergeCell ref="AN167:AN171"/>
    <mergeCell ref="AO167:AO171"/>
    <mergeCell ref="AP167:AP171"/>
    <mergeCell ref="S167:S171"/>
    <mergeCell ref="T167:T171"/>
    <mergeCell ref="U167:U171"/>
    <mergeCell ref="BN179:BN180"/>
    <mergeCell ref="AI179:AM179"/>
    <mergeCell ref="AN179:AN180"/>
    <mergeCell ref="AO179:AO180"/>
    <mergeCell ref="AP179:AP180"/>
    <mergeCell ref="AQ179:AQ180"/>
    <mergeCell ref="AR179:AR180"/>
    <mergeCell ref="M179:Q179"/>
    <mergeCell ref="R179:R180"/>
    <mergeCell ref="S179:S180"/>
    <mergeCell ref="T179:T180"/>
    <mergeCell ref="U179:U180"/>
    <mergeCell ref="V179:V180"/>
    <mergeCell ref="BI172:BI176"/>
    <mergeCell ref="BJ172:BJ176"/>
    <mergeCell ref="BK172:BK176"/>
    <mergeCell ref="BL172:BL176"/>
    <mergeCell ref="BM172:BM176"/>
    <mergeCell ref="BN172:BN176"/>
    <mergeCell ref="AQ172:AQ176"/>
    <mergeCell ref="AR172:AR176"/>
    <mergeCell ref="BE172:BE176"/>
    <mergeCell ref="BF172:BF176"/>
    <mergeCell ref="BG172:BG176"/>
    <mergeCell ref="BH172:BH176"/>
    <mergeCell ref="AK172:AK176"/>
    <mergeCell ref="AL172:AL176"/>
    <mergeCell ref="AM172:AM176"/>
    <mergeCell ref="AN172:AN176"/>
    <mergeCell ref="AO172:AO176"/>
    <mergeCell ref="AP172:AP176"/>
    <mergeCell ref="S172:S176"/>
    <mergeCell ref="S181:S185"/>
    <mergeCell ref="T181:T185"/>
    <mergeCell ref="U181:U185"/>
    <mergeCell ref="V181:V185"/>
    <mergeCell ref="AI181:AI185"/>
    <mergeCell ref="AJ181:AJ185"/>
    <mergeCell ref="M181:M185"/>
    <mergeCell ref="N181:N185"/>
    <mergeCell ref="O181:O185"/>
    <mergeCell ref="P181:P185"/>
    <mergeCell ref="Q181:Q185"/>
    <mergeCell ref="R181:R185"/>
    <mergeCell ref="BE179:BI179"/>
    <mergeCell ref="BJ179:BJ180"/>
    <mergeCell ref="BK179:BK180"/>
    <mergeCell ref="BL179:BL180"/>
    <mergeCell ref="BM179:BM180"/>
    <mergeCell ref="BI181:BI185"/>
    <mergeCell ref="BJ181:BJ185"/>
    <mergeCell ref="BK181:BK185"/>
    <mergeCell ref="BL181:BL185"/>
    <mergeCell ref="BM181:BM185"/>
    <mergeCell ref="BN181:BN185"/>
    <mergeCell ref="AQ181:AQ185"/>
    <mergeCell ref="AR181:AR185"/>
    <mergeCell ref="BE181:BE185"/>
    <mergeCell ref="BF181:BF185"/>
    <mergeCell ref="BG181:BG185"/>
    <mergeCell ref="BH181:BH185"/>
    <mergeCell ref="AK181:AK185"/>
    <mergeCell ref="AL181:AL185"/>
    <mergeCell ref="AM181:AM185"/>
    <mergeCell ref="AN181:AN185"/>
    <mergeCell ref="AO181:AO185"/>
    <mergeCell ref="AP181:AP185"/>
    <mergeCell ref="BN186:BN190"/>
    <mergeCell ref="AQ186:AQ190"/>
    <mergeCell ref="AR186:AR190"/>
    <mergeCell ref="BE186:BE190"/>
    <mergeCell ref="BF186:BF190"/>
    <mergeCell ref="BG186:BG190"/>
    <mergeCell ref="BH186:BH190"/>
    <mergeCell ref="AK186:AK190"/>
    <mergeCell ref="AL186:AL190"/>
    <mergeCell ref="AM186:AM190"/>
    <mergeCell ref="AN186:AN190"/>
    <mergeCell ref="AO186:AO190"/>
    <mergeCell ref="AP186:AP190"/>
    <mergeCell ref="BI186:BI190"/>
    <mergeCell ref="BJ186:BJ190"/>
    <mergeCell ref="BK186:BK190"/>
    <mergeCell ref="BL186:BL190"/>
    <mergeCell ref="BM186:BM190"/>
    <mergeCell ref="S186:S190"/>
    <mergeCell ref="T186:T190"/>
    <mergeCell ref="U186:U190"/>
    <mergeCell ref="V186:V190"/>
    <mergeCell ref="AI186:AI190"/>
    <mergeCell ref="AJ186:AJ190"/>
    <mergeCell ref="S191:S195"/>
    <mergeCell ref="T191:T195"/>
    <mergeCell ref="U191:U195"/>
    <mergeCell ref="V191:V195"/>
    <mergeCell ref="AI191:AI195"/>
    <mergeCell ref="AJ191:AJ195"/>
    <mergeCell ref="M191:M195"/>
    <mergeCell ref="N191:N195"/>
    <mergeCell ref="O191:O195"/>
    <mergeCell ref="P191:P195"/>
    <mergeCell ref="Q191:Q195"/>
    <mergeCell ref="R191:R195"/>
    <mergeCell ref="M186:M190"/>
    <mergeCell ref="N186:N190"/>
    <mergeCell ref="O186:O190"/>
    <mergeCell ref="P186:P190"/>
    <mergeCell ref="Q186:Q190"/>
    <mergeCell ref="R186:R190"/>
    <mergeCell ref="BI191:BI195"/>
    <mergeCell ref="BJ191:BJ195"/>
    <mergeCell ref="BK191:BK195"/>
    <mergeCell ref="BL191:BL195"/>
    <mergeCell ref="BM191:BM195"/>
    <mergeCell ref="BN191:BN195"/>
    <mergeCell ref="AQ191:AQ195"/>
    <mergeCell ref="AR191:AR195"/>
    <mergeCell ref="BE191:BE195"/>
    <mergeCell ref="BF191:BF195"/>
    <mergeCell ref="BG191:BG195"/>
    <mergeCell ref="BH191:BH195"/>
    <mergeCell ref="AK191:AK195"/>
    <mergeCell ref="AL191:AL195"/>
    <mergeCell ref="AM191:AM195"/>
    <mergeCell ref="AN191:AN195"/>
    <mergeCell ref="AO191:AO195"/>
    <mergeCell ref="AP191:AP195"/>
    <mergeCell ref="BN196:BN200"/>
    <mergeCell ref="AQ196:AQ200"/>
    <mergeCell ref="AR196:AR200"/>
    <mergeCell ref="BE196:BE200"/>
    <mergeCell ref="BF196:BF200"/>
    <mergeCell ref="BG196:BG200"/>
    <mergeCell ref="BH196:BH200"/>
    <mergeCell ref="AK196:AK200"/>
    <mergeCell ref="AL196:AL200"/>
    <mergeCell ref="AM196:AM200"/>
    <mergeCell ref="AN196:AN200"/>
    <mergeCell ref="AO196:AO200"/>
    <mergeCell ref="AP196:AP200"/>
    <mergeCell ref="S196:S200"/>
    <mergeCell ref="T196:T200"/>
    <mergeCell ref="U196:U200"/>
    <mergeCell ref="V196:V200"/>
    <mergeCell ref="AI196:AI200"/>
    <mergeCell ref="AJ196:AJ200"/>
    <mergeCell ref="S201:S205"/>
    <mergeCell ref="T201:T205"/>
    <mergeCell ref="U201:U205"/>
    <mergeCell ref="V201:V205"/>
    <mergeCell ref="AI201:AI205"/>
    <mergeCell ref="AJ201:AJ205"/>
    <mergeCell ref="M201:M205"/>
    <mergeCell ref="N201:N205"/>
    <mergeCell ref="O201:O205"/>
    <mergeCell ref="P201:P205"/>
    <mergeCell ref="Q201:Q205"/>
    <mergeCell ref="R201:R205"/>
    <mergeCell ref="BI196:BI200"/>
    <mergeCell ref="BJ196:BJ200"/>
    <mergeCell ref="BK196:BK200"/>
    <mergeCell ref="BL196:BL200"/>
    <mergeCell ref="BM196:BM200"/>
    <mergeCell ref="M196:M200"/>
    <mergeCell ref="N196:N200"/>
    <mergeCell ref="O196:O200"/>
    <mergeCell ref="P196:P200"/>
    <mergeCell ref="Q196:Q200"/>
    <mergeCell ref="R196:R200"/>
    <mergeCell ref="BI201:BI205"/>
    <mergeCell ref="BJ201:BJ205"/>
    <mergeCell ref="BK201:BK205"/>
    <mergeCell ref="BL201:BL205"/>
    <mergeCell ref="BM201:BM205"/>
    <mergeCell ref="BN201:BN205"/>
    <mergeCell ref="AQ201:AQ205"/>
    <mergeCell ref="AR201:AR205"/>
    <mergeCell ref="BE201:BE205"/>
    <mergeCell ref="BF201:BF205"/>
    <mergeCell ref="BG201:BG205"/>
    <mergeCell ref="BH201:BH205"/>
    <mergeCell ref="AK201:AK205"/>
    <mergeCell ref="AL201:AL205"/>
    <mergeCell ref="AM201:AM205"/>
    <mergeCell ref="AN201:AN205"/>
    <mergeCell ref="AO201:AO205"/>
    <mergeCell ref="AP201:AP205"/>
    <mergeCell ref="M210:M214"/>
    <mergeCell ref="N210:N214"/>
    <mergeCell ref="O210:O214"/>
    <mergeCell ref="P210:P214"/>
    <mergeCell ref="Q210:Q214"/>
    <mergeCell ref="R210:R214"/>
    <mergeCell ref="BE208:BI208"/>
    <mergeCell ref="BJ208:BJ209"/>
    <mergeCell ref="BK208:BK209"/>
    <mergeCell ref="BL208:BL209"/>
    <mergeCell ref="BM208:BM209"/>
    <mergeCell ref="BN208:BN209"/>
    <mergeCell ref="AI208:AM208"/>
    <mergeCell ref="AN208:AN209"/>
    <mergeCell ref="AO208:AO209"/>
    <mergeCell ref="AP208:AP209"/>
    <mergeCell ref="AQ208:AQ209"/>
    <mergeCell ref="AR208:AR209"/>
    <mergeCell ref="M208:Q208"/>
    <mergeCell ref="R208:R209"/>
    <mergeCell ref="S208:S209"/>
    <mergeCell ref="T208:T209"/>
    <mergeCell ref="U208:U209"/>
    <mergeCell ref="V208:V209"/>
    <mergeCell ref="N215:N219"/>
    <mergeCell ref="O215:O219"/>
    <mergeCell ref="P215:P219"/>
    <mergeCell ref="Q215:Q219"/>
    <mergeCell ref="R215:R219"/>
    <mergeCell ref="BI210:BI214"/>
    <mergeCell ref="BJ210:BJ214"/>
    <mergeCell ref="BK210:BK214"/>
    <mergeCell ref="BL210:BL214"/>
    <mergeCell ref="BM210:BM214"/>
    <mergeCell ref="BN210:BN214"/>
    <mergeCell ref="AQ210:AQ214"/>
    <mergeCell ref="AR210:AR214"/>
    <mergeCell ref="BE210:BE214"/>
    <mergeCell ref="BF210:BF214"/>
    <mergeCell ref="BG210:BG214"/>
    <mergeCell ref="BH210:BH214"/>
    <mergeCell ref="AK210:AK214"/>
    <mergeCell ref="AL210:AL214"/>
    <mergeCell ref="AM210:AM214"/>
    <mergeCell ref="AN210:AN214"/>
    <mergeCell ref="AO210:AO214"/>
    <mergeCell ref="AP210:AP214"/>
    <mergeCell ref="S210:S214"/>
    <mergeCell ref="T210:T214"/>
    <mergeCell ref="U210:U214"/>
    <mergeCell ref="V210:V214"/>
    <mergeCell ref="AI210:AI214"/>
    <mergeCell ref="AJ210:AJ214"/>
    <mergeCell ref="AJ220:AJ224"/>
    <mergeCell ref="M220:M224"/>
    <mergeCell ref="N220:N224"/>
    <mergeCell ref="O220:O224"/>
    <mergeCell ref="P220:P224"/>
    <mergeCell ref="Q220:Q224"/>
    <mergeCell ref="R220:R224"/>
    <mergeCell ref="BI215:BI219"/>
    <mergeCell ref="BJ215:BJ219"/>
    <mergeCell ref="BK215:BK219"/>
    <mergeCell ref="BL215:BL219"/>
    <mergeCell ref="BM215:BM219"/>
    <mergeCell ref="BN215:BN219"/>
    <mergeCell ref="AQ215:AQ219"/>
    <mergeCell ref="AR215:AR219"/>
    <mergeCell ref="BE215:BE219"/>
    <mergeCell ref="BF215:BF219"/>
    <mergeCell ref="BG215:BG219"/>
    <mergeCell ref="BH215:BH219"/>
    <mergeCell ref="AK215:AK219"/>
    <mergeCell ref="AL215:AL219"/>
    <mergeCell ref="AM215:AM219"/>
    <mergeCell ref="AN215:AN219"/>
    <mergeCell ref="AO215:AO219"/>
    <mergeCell ref="AP215:AP219"/>
    <mergeCell ref="S215:S219"/>
    <mergeCell ref="T215:T219"/>
    <mergeCell ref="U215:U219"/>
    <mergeCell ref="V215:V219"/>
    <mergeCell ref="AI215:AI219"/>
    <mergeCell ref="AJ215:AJ219"/>
    <mergeCell ref="M215:M219"/>
    <mergeCell ref="V225:V229"/>
    <mergeCell ref="AI225:AI229"/>
    <mergeCell ref="AJ225:AJ229"/>
    <mergeCell ref="M225:M229"/>
    <mergeCell ref="N225:N229"/>
    <mergeCell ref="O225:O229"/>
    <mergeCell ref="P225:P229"/>
    <mergeCell ref="Q225:Q229"/>
    <mergeCell ref="R225:R229"/>
    <mergeCell ref="BI220:BI224"/>
    <mergeCell ref="BJ220:BJ224"/>
    <mergeCell ref="BK220:BK224"/>
    <mergeCell ref="BL220:BL224"/>
    <mergeCell ref="BM220:BM224"/>
    <mergeCell ref="BN220:BN224"/>
    <mergeCell ref="AQ220:AQ224"/>
    <mergeCell ref="AR220:AR224"/>
    <mergeCell ref="BE220:BE224"/>
    <mergeCell ref="BF220:BF224"/>
    <mergeCell ref="BG220:BG224"/>
    <mergeCell ref="BH220:BH224"/>
    <mergeCell ref="AK220:AK224"/>
    <mergeCell ref="AL220:AL224"/>
    <mergeCell ref="AM220:AM224"/>
    <mergeCell ref="AN220:AN224"/>
    <mergeCell ref="AO220:AO224"/>
    <mergeCell ref="AP220:AP224"/>
    <mergeCell ref="S220:S224"/>
    <mergeCell ref="T220:T224"/>
    <mergeCell ref="U220:U224"/>
    <mergeCell ref="V220:V224"/>
    <mergeCell ref="AI220:AI224"/>
    <mergeCell ref="T230:T234"/>
    <mergeCell ref="U230:U234"/>
    <mergeCell ref="V230:V234"/>
    <mergeCell ref="AI230:AI234"/>
    <mergeCell ref="AJ230:AJ234"/>
    <mergeCell ref="M230:M234"/>
    <mergeCell ref="N230:N234"/>
    <mergeCell ref="O230:O234"/>
    <mergeCell ref="P230:P234"/>
    <mergeCell ref="Q230:Q234"/>
    <mergeCell ref="R230:R234"/>
    <mergeCell ref="BI225:BI229"/>
    <mergeCell ref="BJ225:BJ229"/>
    <mergeCell ref="BK225:BK229"/>
    <mergeCell ref="BL225:BL229"/>
    <mergeCell ref="BM225:BM229"/>
    <mergeCell ref="BN225:BN229"/>
    <mergeCell ref="AQ225:AQ229"/>
    <mergeCell ref="AR225:AR229"/>
    <mergeCell ref="BE225:BE229"/>
    <mergeCell ref="BF225:BF229"/>
    <mergeCell ref="BG225:BG229"/>
    <mergeCell ref="BH225:BH229"/>
    <mergeCell ref="AK225:AK229"/>
    <mergeCell ref="AL225:AL229"/>
    <mergeCell ref="AM225:AM229"/>
    <mergeCell ref="AN225:AN229"/>
    <mergeCell ref="AO225:AO229"/>
    <mergeCell ref="AP225:AP229"/>
    <mergeCell ref="S225:S229"/>
    <mergeCell ref="T225:T229"/>
    <mergeCell ref="U225:U229"/>
    <mergeCell ref="BN237:BN238"/>
    <mergeCell ref="AI237:AM237"/>
    <mergeCell ref="AN237:AN238"/>
    <mergeCell ref="AO237:AO238"/>
    <mergeCell ref="AP237:AP238"/>
    <mergeCell ref="AQ237:AQ238"/>
    <mergeCell ref="AR237:AR238"/>
    <mergeCell ref="M237:Q237"/>
    <mergeCell ref="R237:R238"/>
    <mergeCell ref="S237:S238"/>
    <mergeCell ref="T237:T238"/>
    <mergeCell ref="U237:U238"/>
    <mergeCell ref="V237:V238"/>
    <mergeCell ref="BI230:BI234"/>
    <mergeCell ref="BJ230:BJ234"/>
    <mergeCell ref="BK230:BK234"/>
    <mergeCell ref="BL230:BL234"/>
    <mergeCell ref="BM230:BM234"/>
    <mergeCell ref="BN230:BN234"/>
    <mergeCell ref="AQ230:AQ234"/>
    <mergeCell ref="AR230:AR234"/>
    <mergeCell ref="BE230:BE234"/>
    <mergeCell ref="BF230:BF234"/>
    <mergeCell ref="BG230:BG234"/>
    <mergeCell ref="BH230:BH234"/>
    <mergeCell ref="AK230:AK234"/>
    <mergeCell ref="AL230:AL234"/>
    <mergeCell ref="AM230:AM234"/>
    <mergeCell ref="AN230:AN234"/>
    <mergeCell ref="AO230:AO234"/>
    <mergeCell ref="AP230:AP234"/>
    <mergeCell ref="S230:S234"/>
    <mergeCell ref="S239:S243"/>
    <mergeCell ref="T239:T243"/>
    <mergeCell ref="U239:U243"/>
    <mergeCell ref="V239:V243"/>
    <mergeCell ref="AI239:AI243"/>
    <mergeCell ref="AJ239:AJ243"/>
    <mergeCell ref="M239:M243"/>
    <mergeCell ref="N239:N243"/>
    <mergeCell ref="O239:O243"/>
    <mergeCell ref="P239:P243"/>
    <mergeCell ref="Q239:Q243"/>
    <mergeCell ref="R239:R243"/>
    <mergeCell ref="BE237:BI237"/>
    <mergeCell ref="BJ237:BJ238"/>
    <mergeCell ref="BK237:BK238"/>
    <mergeCell ref="BL237:BL238"/>
    <mergeCell ref="BM237:BM238"/>
    <mergeCell ref="BI239:BI243"/>
    <mergeCell ref="BJ239:BJ243"/>
    <mergeCell ref="BK239:BK243"/>
    <mergeCell ref="BL239:BL243"/>
    <mergeCell ref="BM239:BM243"/>
    <mergeCell ref="BN239:BN243"/>
    <mergeCell ref="AQ239:AQ243"/>
    <mergeCell ref="AR239:AR243"/>
    <mergeCell ref="BE239:BE243"/>
    <mergeCell ref="BF239:BF243"/>
    <mergeCell ref="BG239:BG243"/>
    <mergeCell ref="BH239:BH243"/>
    <mergeCell ref="AK239:AK243"/>
    <mergeCell ref="AL239:AL243"/>
    <mergeCell ref="AM239:AM243"/>
    <mergeCell ref="AN239:AN243"/>
    <mergeCell ref="AO239:AO243"/>
    <mergeCell ref="AP239:AP243"/>
    <mergeCell ref="BN244:BN248"/>
    <mergeCell ref="AQ244:AQ248"/>
    <mergeCell ref="AR244:AR248"/>
    <mergeCell ref="BE244:BE248"/>
    <mergeCell ref="BF244:BF248"/>
    <mergeCell ref="BG244:BG248"/>
    <mergeCell ref="BH244:BH248"/>
    <mergeCell ref="AK244:AK248"/>
    <mergeCell ref="AL244:AL248"/>
    <mergeCell ref="AM244:AM248"/>
    <mergeCell ref="AN244:AN248"/>
    <mergeCell ref="AO244:AO248"/>
    <mergeCell ref="AP244:AP248"/>
    <mergeCell ref="BI244:BI248"/>
    <mergeCell ref="BJ244:BJ248"/>
    <mergeCell ref="BK244:BK248"/>
    <mergeCell ref="BL244:BL248"/>
    <mergeCell ref="BM244:BM248"/>
    <mergeCell ref="S244:S248"/>
    <mergeCell ref="T244:T248"/>
    <mergeCell ref="U244:U248"/>
    <mergeCell ref="V244:V248"/>
    <mergeCell ref="AI244:AI248"/>
    <mergeCell ref="AJ244:AJ248"/>
    <mergeCell ref="S249:S253"/>
    <mergeCell ref="T249:T253"/>
    <mergeCell ref="U249:U253"/>
    <mergeCell ref="V249:V253"/>
    <mergeCell ref="AI249:AI253"/>
    <mergeCell ref="AJ249:AJ253"/>
    <mergeCell ref="M249:M253"/>
    <mergeCell ref="N249:N253"/>
    <mergeCell ref="O249:O253"/>
    <mergeCell ref="P249:P253"/>
    <mergeCell ref="Q249:Q253"/>
    <mergeCell ref="R249:R253"/>
    <mergeCell ref="M244:M248"/>
    <mergeCell ref="N244:N248"/>
    <mergeCell ref="O244:O248"/>
    <mergeCell ref="P244:P248"/>
    <mergeCell ref="Q244:Q248"/>
    <mergeCell ref="R244:R248"/>
    <mergeCell ref="BI249:BI253"/>
    <mergeCell ref="BJ249:BJ253"/>
    <mergeCell ref="BK249:BK253"/>
    <mergeCell ref="BL249:BL253"/>
    <mergeCell ref="BM249:BM253"/>
    <mergeCell ref="BN249:BN253"/>
    <mergeCell ref="AQ249:AQ253"/>
    <mergeCell ref="AR249:AR253"/>
    <mergeCell ref="BE249:BE253"/>
    <mergeCell ref="BF249:BF253"/>
    <mergeCell ref="BG249:BG253"/>
    <mergeCell ref="BH249:BH253"/>
    <mergeCell ref="AK249:AK253"/>
    <mergeCell ref="AL249:AL253"/>
    <mergeCell ref="AM249:AM253"/>
    <mergeCell ref="AN249:AN253"/>
    <mergeCell ref="AO249:AO253"/>
    <mergeCell ref="AP249:AP253"/>
    <mergeCell ref="BN254:BN258"/>
    <mergeCell ref="AQ254:AQ258"/>
    <mergeCell ref="AR254:AR258"/>
    <mergeCell ref="BE254:BE258"/>
    <mergeCell ref="BF254:BF258"/>
    <mergeCell ref="BG254:BG258"/>
    <mergeCell ref="BH254:BH258"/>
    <mergeCell ref="AK254:AK258"/>
    <mergeCell ref="AL254:AL258"/>
    <mergeCell ref="AM254:AM258"/>
    <mergeCell ref="AN254:AN258"/>
    <mergeCell ref="AO254:AO258"/>
    <mergeCell ref="AP254:AP258"/>
    <mergeCell ref="S254:S258"/>
    <mergeCell ref="T254:T258"/>
    <mergeCell ref="U254:U258"/>
    <mergeCell ref="V254:V258"/>
    <mergeCell ref="AI254:AI258"/>
    <mergeCell ref="AJ254:AJ258"/>
    <mergeCell ref="S259:S263"/>
    <mergeCell ref="T259:T263"/>
    <mergeCell ref="U259:U263"/>
    <mergeCell ref="V259:V263"/>
    <mergeCell ref="AI259:AI263"/>
    <mergeCell ref="AJ259:AJ263"/>
    <mergeCell ref="M259:M263"/>
    <mergeCell ref="N259:N263"/>
    <mergeCell ref="O259:O263"/>
    <mergeCell ref="P259:P263"/>
    <mergeCell ref="Q259:Q263"/>
    <mergeCell ref="R259:R263"/>
    <mergeCell ref="BI254:BI258"/>
    <mergeCell ref="BJ254:BJ258"/>
    <mergeCell ref="BK254:BK258"/>
    <mergeCell ref="BL254:BL258"/>
    <mergeCell ref="BM254:BM258"/>
    <mergeCell ref="M254:M258"/>
    <mergeCell ref="N254:N258"/>
    <mergeCell ref="O254:O258"/>
    <mergeCell ref="P254:P258"/>
    <mergeCell ref="Q254:Q258"/>
    <mergeCell ref="R254:R258"/>
    <mergeCell ref="BI259:BI263"/>
    <mergeCell ref="BJ259:BJ263"/>
    <mergeCell ref="BK259:BK263"/>
    <mergeCell ref="BL259:BL263"/>
    <mergeCell ref="BM259:BM263"/>
    <mergeCell ref="BN259:BN263"/>
    <mergeCell ref="AQ259:AQ263"/>
    <mergeCell ref="AR259:AR263"/>
    <mergeCell ref="BE259:BE263"/>
    <mergeCell ref="BF259:BF263"/>
    <mergeCell ref="BG259:BG263"/>
    <mergeCell ref="BH259:BH263"/>
    <mergeCell ref="AK259:AK263"/>
    <mergeCell ref="AL259:AL263"/>
    <mergeCell ref="AM259:AM263"/>
    <mergeCell ref="AN259:AN263"/>
    <mergeCell ref="AO259:AO263"/>
    <mergeCell ref="AP259:AP263"/>
    <mergeCell ref="M268:M272"/>
    <mergeCell ref="N268:N272"/>
    <mergeCell ref="O268:O272"/>
    <mergeCell ref="P268:P272"/>
    <mergeCell ref="Q268:Q272"/>
    <mergeCell ref="R268:R272"/>
    <mergeCell ref="BE266:BI266"/>
    <mergeCell ref="BJ266:BJ267"/>
    <mergeCell ref="BK266:BK267"/>
    <mergeCell ref="BL266:BL267"/>
    <mergeCell ref="BM266:BM267"/>
    <mergeCell ref="BN266:BN267"/>
    <mergeCell ref="AI266:AM266"/>
    <mergeCell ref="AN266:AN267"/>
    <mergeCell ref="AO266:AO267"/>
    <mergeCell ref="AP266:AP267"/>
    <mergeCell ref="AQ266:AQ267"/>
    <mergeCell ref="AR266:AR267"/>
    <mergeCell ref="M266:Q266"/>
    <mergeCell ref="R266:R267"/>
    <mergeCell ref="S266:S267"/>
    <mergeCell ref="T266:T267"/>
    <mergeCell ref="U266:U267"/>
    <mergeCell ref="V266:V267"/>
    <mergeCell ref="N273:N277"/>
    <mergeCell ref="O273:O277"/>
    <mergeCell ref="P273:P277"/>
    <mergeCell ref="Q273:Q277"/>
    <mergeCell ref="R273:R277"/>
    <mergeCell ref="BI268:BI272"/>
    <mergeCell ref="BJ268:BJ272"/>
    <mergeCell ref="BK268:BK272"/>
    <mergeCell ref="BL268:BL272"/>
    <mergeCell ref="BM268:BM272"/>
    <mergeCell ref="BN268:BN272"/>
    <mergeCell ref="AQ268:AQ272"/>
    <mergeCell ref="AR268:AR272"/>
    <mergeCell ref="BE268:BE272"/>
    <mergeCell ref="BF268:BF272"/>
    <mergeCell ref="BG268:BG272"/>
    <mergeCell ref="BH268:BH272"/>
    <mergeCell ref="AK268:AK272"/>
    <mergeCell ref="AL268:AL272"/>
    <mergeCell ref="AM268:AM272"/>
    <mergeCell ref="AN268:AN272"/>
    <mergeCell ref="AO268:AO272"/>
    <mergeCell ref="AP268:AP272"/>
    <mergeCell ref="S268:S272"/>
    <mergeCell ref="T268:T272"/>
    <mergeCell ref="U268:U272"/>
    <mergeCell ref="V268:V272"/>
    <mergeCell ref="AI268:AI272"/>
    <mergeCell ref="AJ268:AJ272"/>
    <mergeCell ref="AJ278:AJ282"/>
    <mergeCell ref="M278:M282"/>
    <mergeCell ref="N278:N282"/>
    <mergeCell ref="O278:O282"/>
    <mergeCell ref="P278:P282"/>
    <mergeCell ref="Q278:Q282"/>
    <mergeCell ref="R278:R282"/>
    <mergeCell ref="BI273:BI277"/>
    <mergeCell ref="BJ273:BJ277"/>
    <mergeCell ref="BK273:BK277"/>
    <mergeCell ref="BL273:BL277"/>
    <mergeCell ref="BM273:BM277"/>
    <mergeCell ref="BN273:BN277"/>
    <mergeCell ref="AQ273:AQ277"/>
    <mergeCell ref="AR273:AR277"/>
    <mergeCell ref="BE273:BE277"/>
    <mergeCell ref="BF273:BF277"/>
    <mergeCell ref="BG273:BG277"/>
    <mergeCell ref="BH273:BH277"/>
    <mergeCell ref="AK273:AK277"/>
    <mergeCell ref="AL273:AL277"/>
    <mergeCell ref="AM273:AM277"/>
    <mergeCell ref="AN273:AN277"/>
    <mergeCell ref="AO273:AO277"/>
    <mergeCell ref="AP273:AP277"/>
    <mergeCell ref="S273:S277"/>
    <mergeCell ref="T273:T277"/>
    <mergeCell ref="U273:U277"/>
    <mergeCell ref="V273:V277"/>
    <mergeCell ref="AI273:AI277"/>
    <mergeCell ref="AJ273:AJ277"/>
    <mergeCell ref="M273:M277"/>
    <mergeCell ref="V283:V287"/>
    <mergeCell ref="AI283:AI287"/>
    <mergeCell ref="AJ283:AJ287"/>
    <mergeCell ref="M283:M287"/>
    <mergeCell ref="N283:N287"/>
    <mergeCell ref="O283:O287"/>
    <mergeCell ref="P283:P287"/>
    <mergeCell ref="Q283:Q287"/>
    <mergeCell ref="R283:R287"/>
    <mergeCell ref="BI278:BI282"/>
    <mergeCell ref="BJ278:BJ282"/>
    <mergeCell ref="BK278:BK282"/>
    <mergeCell ref="BL278:BL282"/>
    <mergeCell ref="BM278:BM282"/>
    <mergeCell ref="BN278:BN282"/>
    <mergeCell ref="AQ278:AQ282"/>
    <mergeCell ref="AR278:AR282"/>
    <mergeCell ref="BE278:BE282"/>
    <mergeCell ref="BF278:BF282"/>
    <mergeCell ref="BG278:BG282"/>
    <mergeCell ref="BH278:BH282"/>
    <mergeCell ref="AK278:AK282"/>
    <mergeCell ref="AL278:AL282"/>
    <mergeCell ref="AM278:AM282"/>
    <mergeCell ref="AN278:AN282"/>
    <mergeCell ref="AO278:AO282"/>
    <mergeCell ref="AP278:AP282"/>
    <mergeCell ref="S278:S282"/>
    <mergeCell ref="T278:T282"/>
    <mergeCell ref="U278:U282"/>
    <mergeCell ref="V278:V282"/>
    <mergeCell ref="AI278:AI282"/>
    <mergeCell ref="T288:T292"/>
    <mergeCell ref="U288:U292"/>
    <mergeCell ref="V288:V292"/>
    <mergeCell ref="AI288:AI292"/>
    <mergeCell ref="AJ288:AJ292"/>
    <mergeCell ref="M288:M292"/>
    <mergeCell ref="N288:N292"/>
    <mergeCell ref="O288:O292"/>
    <mergeCell ref="P288:P292"/>
    <mergeCell ref="Q288:Q292"/>
    <mergeCell ref="R288:R292"/>
    <mergeCell ref="BI283:BI287"/>
    <mergeCell ref="BJ283:BJ287"/>
    <mergeCell ref="BK283:BK287"/>
    <mergeCell ref="BL283:BL287"/>
    <mergeCell ref="BM283:BM287"/>
    <mergeCell ref="BN283:BN287"/>
    <mergeCell ref="AQ283:AQ287"/>
    <mergeCell ref="AR283:AR287"/>
    <mergeCell ref="BE283:BE287"/>
    <mergeCell ref="BF283:BF287"/>
    <mergeCell ref="BG283:BG287"/>
    <mergeCell ref="BH283:BH287"/>
    <mergeCell ref="AK283:AK287"/>
    <mergeCell ref="AL283:AL287"/>
    <mergeCell ref="AM283:AM287"/>
    <mergeCell ref="AN283:AN287"/>
    <mergeCell ref="AO283:AO287"/>
    <mergeCell ref="AP283:AP287"/>
    <mergeCell ref="S283:S287"/>
    <mergeCell ref="T283:T287"/>
    <mergeCell ref="U283:U287"/>
    <mergeCell ref="BN295:BN296"/>
    <mergeCell ref="AI295:AM295"/>
    <mergeCell ref="AN295:AN296"/>
    <mergeCell ref="AO295:AO296"/>
    <mergeCell ref="AP295:AP296"/>
    <mergeCell ref="AQ295:AQ296"/>
    <mergeCell ref="AR295:AR296"/>
    <mergeCell ref="M295:Q295"/>
    <mergeCell ref="R295:R296"/>
    <mergeCell ref="S295:S296"/>
    <mergeCell ref="T295:T296"/>
    <mergeCell ref="U295:U296"/>
    <mergeCell ref="V295:V296"/>
    <mergeCell ref="BI288:BI292"/>
    <mergeCell ref="BJ288:BJ292"/>
    <mergeCell ref="BK288:BK292"/>
    <mergeCell ref="BL288:BL292"/>
    <mergeCell ref="BM288:BM292"/>
    <mergeCell ref="BN288:BN292"/>
    <mergeCell ref="AQ288:AQ292"/>
    <mergeCell ref="AR288:AR292"/>
    <mergeCell ref="BE288:BE292"/>
    <mergeCell ref="BF288:BF292"/>
    <mergeCell ref="BG288:BG292"/>
    <mergeCell ref="BH288:BH292"/>
    <mergeCell ref="AK288:AK292"/>
    <mergeCell ref="AL288:AL292"/>
    <mergeCell ref="AM288:AM292"/>
    <mergeCell ref="AN288:AN292"/>
    <mergeCell ref="AO288:AO292"/>
    <mergeCell ref="AP288:AP292"/>
    <mergeCell ref="S288:S292"/>
    <mergeCell ref="S297:S301"/>
    <mergeCell ref="T297:T301"/>
    <mergeCell ref="U297:U301"/>
    <mergeCell ref="V297:V301"/>
    <mergeCell ref="AI297:AI301"/>
    <mergeCell ref="AJ297:AJ301"/>
    <mergeCell ref="M297:M301"/>
    <mergeCell ref="N297:N301"/>
    <mergeCell ref="O297:O301"/>
    <mergeCell ref="P297:P301"/>
    <mergeCell ref="Q297:Q301"/>
    <mergeCell ref="R297:R301"/>
    <mergeCell ref="BE295:BI295"/>
    <mergeCell ref="BJ295:BJ296"/>
    <mergeCell ref="BK295:BK296"/>
    <mergeCell ref="BL295:BL296"/>
    <mergeCell ref="BM295:BM296"/>
    <mergeCell ref="BI297:BI301"/>
    <mergeCell ref="BJ297:BJ301"/>
    <mergeCell ref="BK297:BK301"/>
    <mergeCell ref="BL297:BL301"/>
    <mergeCell ref="BM297:BM301"/>
    <mergeCell ref="BN297:BN301"/>
    <mergeCell ref="AQ297:AQ301"/>
    <mergeCell ref="AR297:AR301"/>
    <mergeCell ref="BE297:BE301"/>
    <mergeCell ref="BF297:BF301"/>
    <mergeCell ref="BG297:BG301"/>
    <mergeCell ref="BH297:BH301"/>
    <mergeCell ref="AK297:AK301"/>
    <mergeCell ref="AL297:AL301"/>
    <mergeCell ref="AM297:AM301"/>
    <mergeCell ref="AN297:AN301"/>
    <mergeCell ref="AO297:AO301"/>
    <mergeCell ref="AP297:AP301"/>
    <mergeCell ref="BN302:BN306"/>
    <mergeCell ref="AQ302:AQ306"/>
    <mergeCell ref="AR302:AR306"/>
    <mergeCell ref="BE302:BE306"/>
    <mergeCell ref="BF302:BF306"/>
    <mergeCell ref="BG302:BG306"/>
    <mergeCell ref="BH302:BH306"/>
    <mergeCell ref="AK302:AK306"/>
    <mergeCell ref="AL302:AL306"/>
    <mergeCell ref="AM302:AM306"/>
    <mergeCell ref="AN302:AN306"/>
    <mergeCell ref="AO302:AO306"/>
    <mergeCell ref="AP302:AP306"/>
    <mergeCell ref="BI302:BI306"/>
    <mergeCell ref="BJ302:BJ306"/>
    <mergeCell ref="BK302:BK306"/>
    <mergeCell ref="BL302:BL306"/>
    <mergeCell ref="BM302:BM306"/>
    <mergeCell ref="S302:S306"/>
    <mergeCell ref="T302:T306"/>
    <mergeCell ref="U302:U306"/>
    <mergeCell ref="V302:V306"/>
    <mergeCell ref="AI302:AI306"/>
    <mergeCell ref="AJ302:AJ306"/>
    <mergeCell ref="S307:S311"/>
    <mergeCell ref="T307:T311"/>
    <mergeCell ref="U307:U311"/>
    <mergeCell ref="V307:V311"/>
    <mergeCell ref="AI307:AI311"/>
    <mergeCell ref="AJ307:AJ311"/>
    <mergeCell ref="M307:M311"/>
    <mergeCell ref="N307:N311"/>
    <mergeCell ref="O307:O311"/>
    <mergeCell ref="P307:P311"/>
    <mergeCell ref="Q307:Q311"/>
    <mergeCell ref="R307:R311"/>
    <mergeCell ref="M302:M306"/>
    <mergeCell ref="N302:N306"/>
    <mergeCell ref="O302:O306"/>
    <mergeCell ref="P302:P306"/>
    <mergeCell ref="Q302:Q306"/>
    <mergeCell ref="R302:R306"/>
    <mergeCell ref="BI307:BI311"/>
    <mergeCell ref="BJ307:BJ311"/>
    <mergeCell ref="BK307:BK311"/>
    <mergeCell ref="BL307:BL311"/>
    <mergeCell ref="BM307:BM311"/>
    <mergeCell ref="BN307:BN311"/>
    <mergeCell ref="AQ307:AQ311"/>
    <mergeCell ref="AR307:AR311"/>
    <mergeCell ref="BE307:BE311"/>
    <mergeCell ref="BF307:BF311"/>
    <mergeCell ref="BG307:BG311"/>
    <mergeCell ref="BH307:BH311"/>
    <mergeCell ref="AK307:AK311"/>
    <mergeCell ref="AL307:AL311"/>
    <mergeCell ref="AM307:AM311"/>
    <mergeCell ref="AN307:AN311"/>
    <mergeCell ref="AO307:AO311"/>
    <mergeCell ref="AP307:AP311"/>
    <mergeCell ref="BN312:BN316"/>
    <mergeCell ref="AQ312:AQ316"/>
    <mergeCell ref="AR312:AR316"/>
    <mergeCell ref="BE312:BE316"/>
    <mergeCell ref="BF312:BF316"/>
    <mergeCell ref="BG312:BG316"/>
    <mergeCell ref="BH312:BH316"/>
    <mergeCell ref="AK312:AK316"/>
    <mergeCell ref="AL312:AL316"/>
    <mergeCell ref="AM312:AM316"/>
    <mergeCell ref="AN312:AN316"/>
    <mergeCell ref="AO312:AO316"/>
    <mergeCell ref="AP312:AP316"/>
    <mergeCell ref="S312:S316"/>
    <mergeCell ref="T312:T316"/>
    <mergeCell ref="U312:U316"/>
    <mergeCell ref="V312:V316"/>
    <mergeCell ref="AI312:AI316"/>
    <mergeCell ref="AJ312:AJ316"/>
    <mergeCell ref="S317:S321"/>
    <mergeCell ref="T317:T321"/>
    <mergeCell ref="U317:U321"/>
    <mergeCell ref="V317:V321"/>
    <mergeCell ref="AI317:AI321"/>
    <mergeCell ref="AJ317:AJ321"/>
    <mergeCell ref="M317:M321"/>
    <mergeCell ref="N317:N321"/>
    <mergeCell ref="O317:O321"/>
    <mergeCell ref="P317:P321"/>
    <mergeCell ref="Q317:Q321"/>
    <mergeCell ref="R317:R321"/>
    <mergeCell ref="BI312:BI316"/>
    <mergeCell ref="BJ312:BJ316"/>
    <mergeCell ref="BK312:BK316"/>
    <mergeCell ref="BL312:BL316"/>
    <mergeCell ref="BM312:BM316"/>
    <mergeCell ref="M312:M316"/>
    <mergeCell ref="N312:N316"/>
    <mergeCell ref="O312:O316"/>
    <mergeCell ref="P312:P316"/>
    <mergeCell ref="Q312:Q316"/>
    <mergeCell ref="R312:R316"/>
    <mergeCell ref="BI317:BI321"/>
    <mergeCell ref="BJ317:BJ321"/>
    <mergeCell ref="BK317:BK321"/>
    <mergeCell ref="BL317:BL321"/>
    <mergeCell ref="BM317:BM321"/>
    <mergeCell ref="BN317:BN321"/>
    <mergeCell ref="AQ317:AQ321"/>
    <mergeCell ref="AR317:AR321"/>
    <mergeCell ref="BE317:BE321"/>
    <mergeCell ref="BF317:BF321"/>
    <mergeCell ref="BG317:BG321"/>
    <mergeCell ref="BH317:BH321"/>
    <mergeCell ref="AK317:AK321"/>
    <mergeCell ref="AL317:AL321"/>
    <mergeCell ref="AM317:AM321"/>
    <mergeCell ref="AN317:AN321"/>
    <mergeCell ref="AO317:AO321"/>
    <mergeCell ref="AP317:AP321"/>
    <mergeCell ref="M326:M330"/>
    <mergeCell ref="N326:N330"/>
    <mergeCell ref="O326:O330"/>
    <mergeCell ref="P326:P330"/>
    <mergeCell ref="Q326:Q330"/>
    <mergeCell ref="R326:R330"/>
    <mergeCell ref="BE324:BI324"/>
    <mergeCell ref="BJ324:BJ325"/>
    <mergeCell ref="BK324:BK325"/>
    <mergeCell ref="BL324:BL325"/>
    <mergeCell ref="BM324:BM325"/>
    <mergeCell ref="BN324:BN325"/>
    <mergeCell ref="AI324:AM324"/>
    <mergeCell ref="AN324:AN325"/>
    <mergeCell ref="AO324:AO325"/>
    <mergeCell ref="AP324:AP325"/>
    <mergeCell ref="AQ324:AQ325"/>
    <mergeCell ref="AR324:AR325"/>
    <mergeCell ref="M324:Q324"/>
    <mergeCell ref="R324:R325"/>
    <mergeCell ref="S324:S325"/>
    <mergeCell ref="T324:T325"/>
    <mergeCell ref="U324:U325"/>
    <mergeCell ref="V324:V325"/>
    <mergeCell ref="N331:N335"/>
    <mergeCell ref="O331:O335"/>
    <mergeCell ref="P331:P335"/>
    <mergeCell ref="Q331:Q335"/>
    <mergeCell ref="R331:R335"/>
    <mergeCell ref="BI326:BI330"/>
    <mergeCell ref="BJ326:BJ330"/>
    <mergeCell ref="BK326:BK330"/>
    <mergeCell ref="BL326:BL330"/>
    <mergeCell ref="BM326:BM330"/>
    <mergeCell ref="BN326:BN330"/>
    <mergeCell ref="AQ326:AQ330"/>
    <mergeCell ref="AR326:AR330"/>
    <mergeCell ref="BE326:BE330"/>
    <mergeCell ref="BF326:BF330"/>
    <mergeCell ref="BG326:BG330"/>
    <mergeCell ref="BH326:BH330"/>
    <mergeCell ref="AK326:AK330"/>
    <mergeCell ref="AL326:AL330"/>
    <mergeCell ref="AM326:AM330"/>
    <mergeCell ref="AN326:AN330"/>
    <mergeCell ref="AO326:AO330"/>
    <mergeCell ref="AP326:AP330"/>
    <mergeCell ref="S326:S330"/>
    <mergeCell ref="T326:T330"/>
    <mergeCell ref="U326:U330"/>
    <mergeCell ref="V326:V330"/>
    <mergeCell ref="AI326:AI330"/>
    <mergeCell ref="AJ326:AJ330"/>
    <mergeCell ref="AJ336:AJ340"/>
    <mergeCell ref="M336:M340"/>
    <mergeCell ref="N336:N340"/>
    <mergeCell ref="O336:O340"/>
    <mergeCell ref="P336:P340"/>
    <mergeCell ref="Q336:Q340"/>
    <mergeCell ref="R336:R340"/>
    <mergeCell ref="BI331:BI335"/>
    <mergeCell ref="BJ331:BJ335"/>
    <mergeCell ref="BK331:BK335"/>
    <mergeCell ref="BL331:BL335"/>
    <mergeCell ref="BM331:BM335"/>
    <mergeCell ref="BN331:BN335"/>
    <mergeCell ref="AQ331:AQ335"/>
    <mergeCell ref="AR331:AR335"/>
    <mergeCell ref="BE331:BE335"/>
    <mergeCell ref="BF331:BF335"/>
    <mergeCell ref="BG331:BG335"/>
    <mergeCell ref="BH331:BH335"/>
    <mergeCell ref="AK331:AK335"/>
    <mergeCell ref="AL331:AL335"/>
    <mergeCell ref="AM331:AM335"/>
    <mergeCell ref="AN331:AN335"/>
    <mergeCell ref="AO331:AO335"/>
    <mergeCell ref="AP331:AP335"/>
    <mergeCell ref="S331:S335"/>
    <mergeCell ref="T331:T335"/>
    <mergeCell ref="U331:U335"/>
    <mergeCell ref="V331:V335"/>
    <mergeCell ref="AI331:AI335"/>
    <mergeCell ref="AJ331:AJ335"/>
    <mergeCell ref="M331:M335"/>
    <mergeCell ref="V341:V345"/>
    <mergeCell ref="AI341:AI345"/>
    <mergeCell ref="AJ341:AJ345"/>
    <mergeCell ref="M341:M345"/>
    <mergeCell ref="N341:N345"/>
    <mergeCell ref="O341:O345"/>
    <mergeCell ref="P341:P345"/>
    <mergeCell ref="Q341:Q345"/>
    <mergeCell ref="R341:R345"/>
    <mergeCell ref="BI336:BI340"/>
    <mergeCell ref="BJ336:BJ340"/>
    <mergeCell ref="BK336:BK340"/>
    <mergeCell ref="BL336:BL340"/>
    <mergeCell ref="BM336:BM340"/>
    <mergeCell ref="BN336:BN340"/>
    <mergeCell ref="AQ336:AQ340"/>
    <mergeCell ref="AR336:AR340"/>
    <mergeCell ref="BE336:BE340"/>
    <mergeCell ref="BF336:BF340"/>
    <mergeCell ref="BG336:BG340"/>
    <mergeCell ref="BH336:BH340"/>
    <mergeCell ref="AK336:AK340"/>
    <mergeCell ref="AL336:AL340"/>
    <mergeCell ref="AM336:AM340"/>
    <mergeCell ref="AN336:AN340"/>
    <mergeCell ref="AO336:AO340"/>
    <mergeCell ref="AP336:AP340"/>
    <mergeCell ref="S336:S340"/>
    <mergeCell ref="T336:T340"/>
    <mergeCell ref="U336:U340"/>
    <mergeCell ref="V336:V340"/>
    <mergeCell ref="AI336:AI340"/>
    <mergeCell ref="T346:T350"/>
    <mergeCell ref="U346:U350"/>
    <mergeCell ref="V346:V350"/>
    <mergeCell ref="AI346:AI350"/>
    <mergeCell ref="AJ346:AJ350"/>
    <mergeCell ref="M346:M350"/>
    <mergeCell ref="N346:N350"/>
    <mergeCell ref="O346:O350"/>
    <mergeCell ref="P346:P350"/>
    <mergeCell ref="Q346:Q350"/>
    <mergeCell ref="R346:R350"/>
    <mergeCell ref="BI341:BI345"/>
    <mergeCell ref="BJ341:BJ345"/>
    <mergeCell ref="BK341:BK345"/>
    <mergeCell ref="BL341:BL345"/>
    <mergeCell ref="BM341:BM345"/>
    <mergeCell ref="BN341:BN345"/>
    <mergeCell ref="AQ341:AQ345"/>
    <mergeCell ref="AR341:AR345"/>
    <mergeCell ref="BE341:BE345"/>
    <mergeCell ref="BF341:BF345"/>
    <mergeCell ref="BG341:BG345"/>
    <mergeCell ref="BH341:BH345"/>
    <mergeCell ref="AK341:AK345"/>
    <mergeCell ref="AL341:AL345"/>
    <mergeCell ref="AM341:AM345"/>
    <mergeCell ref="AN341:AN345"/>
    <mergeCell ref="AO341:AO345"/>
    <mergeCell ref="AP341:AP345"/>
    <mergeCell ref="S341:S345"/>
    <mergeCell ref="T341:T345"/>
    <mergeCell ref="U341:U345"/>
    <mergeCell ref="BN63:BN64"/>
    <mergeCell ref="AI63:AM63"/>
    <mergeCell ref="AN63:AN64"/>
    <mergeCell ref="AO63:AO64"/>
    <mergeCell ref="AP63:AP64"/>
    <mergeCell ref="AQ63:AQ64"/>
    <mergeCell ref="AR63:AR64"/>
    <mergeCell ref="M63:Q63"/>
    <mergeCell ref="R63:R64"/>
    <mergeCell ref="S63:S64"/>
    <mergeCell ref="T63:T64"/>
    <mergeCell ref="U63:U64"/>
    <mergeCell ref="V63:V64"/>
    <mergeCell ref="BI346:BI350"/>
    <mergeCell ref="BJ346:BJ350"/>
    <mergeCell ref="BK346:BK350"/>
    <mergeCell ref="BL346:BL350"/>
    <mergeCell ref="BM346:BM350"/>
    <mergeCell ref="BN346:BN350"/>
    <mergeCell ref="AQ346:AQ350"/>
    <mergeCell ref="AR346:AR350"/>
    <mergeCell ref="BE346:BE350"/>
    <mergeCell ref="BF346:BF350"/>
    <mergeCell ref="BG346:BG350"/>
    <mergeCell ref="BH346:BH350"/>
    <mergeCell ref="AK346:AK350"/>
    <mergeCell ref="AL346:AL350"/>
    <mergeCell ref="AM346:AM350"/>
    <mergeCell ref="AN346:AN350"/>
    <mergeCell ref="AO346:AO350"/>
    <mergeCell ref="AP346:AP350"/>
    <mergeCell ref="S346:S350"/>
    <mergeCell ref="S65:S69"/>
    <mergeCell ref="T65:T69"/>
    <mergeCell ref="U65:U69"/>
    <mergeCell ref="V65:V69"/>
    <mergeCell ref="AI65:AI69"/>
    <mergeCell ref="AJ65:AJ69"/>
    <mergeCell ref="M65:M69"/>
    <mergeCell ref="N65:N69"/>
    <mergeCell ref="O65:O69"/>
    <mergeCell ref="P65:P69"/>
    <mergeCell ref="Q65:Q69"/>
    <mergeCell ref="R65:R69"/>
    <mergeCell ref="BE63:BI63"/>
    <mergeCell ref="BJ63:BJ64"/>
    <mergeCell ref="BK63:BK64"/>
    <mergeCell ref="BL63:BL64"/>
    <mergeCell ref="BM63:BM64"/>
    <mergeCell ref="BI65:BI69"/>
    <mergeCell ref="BJ65:BJ69"/>
    <mergeCell ref="BK65:BK69"/>
    <mergeCell ref="BL65:BL69"/>
    <mergeCell ref="BM65:BM69"/>
    <mergeCell ref="BN65:BN69"/>
    <mergeCell ref="AQ65:AQ69"/>
    <mergeCell ref="AR65:AR69"/>
    <mergeCell ref="BE65:BE69"/>
    <mergeCell ref="BF65:BF69"/>
    <mergeCell ref="BG65:BG69"/>
    <mergeCell ref="BH65:BH69"/>
    <mergeCell ref="AK65:AK69"/>
    <mergeCell ref="AL65:AL69"/>
    <mergeCell ref="AM65:AM69"/>
    <mergeCell ref="AN65:AN69"/>
    <mergeCell ref="AO65:AO69"/>
    <mergeCell ref="AP65:AP69"/>
    <mergeCell ref="BN70:BN74"/>
    <mergeCell ref="AQ70:AQ74"/>
    <mergeCell ref="AR70:AR74"/>
    <mergeCell ref="BE70:BE74"/>
    <mergeCell ref="BF70:BF74"/>
    <mergeCell ref="BG70:BG74"/>
    <mergeCell ref="BH70:BH74"/>
    <mergeCell ref="AK70:AK74"/>
    <mergeCell ref="AL70:AL74"/>
    <mergeCell ref="AM70:AM74"/>
    <mergeCell ref="AN70:AN74"/>
    <mergeCell ref="AO70:AO74"/>
    <mergeCell ref="AP70:AP74"/>
    <mergeCell ref="BI70:BI74"/>
    <mergeCell ref="BJ70:BJ74"/>
    <mergeCell ref="BK70:BK74"/>
    <mergeCell ref="BL70:BL74"/>
    <mergeCell ref="BM70:BM74"/>
    <mergeCell ref="S70:S74"/>
    <mergeCell ref="T70:T74"/>
    <mergeCell ref="U70:U74"/>
    <mergeCell ref="V70:V74"/>
    <mergeCell ref="AI70:AI74"/>
    <mergeCell ref="AJ70:AJ74"/>
    <mergeCell ref="S75:S79"/>
    <mergeCell ref="T75:T79"/>
    <mergeCell ref="U75:U79"/>
    <mergeCell ref="V75:V79"/>
    <mergeCell ref="AI75:AI79"/>
    <mergeCell ref="AJ75:AJ79"/>
    <mergeCell ref="M75:M79"/>
    <mergeCell ref="N75:N79"/>
    <mergeCell ref="O75:O79"/>
    <mergeCell ref="P75:P79"/>
    <mergeCell ref="Q75:Q79"/>
    <mergeCell ref="R75:R79"/>
    <mergeCell ref="M70:M74"/>
    <mergeCell ref="N70:N74"/>
    <mergeCell ref="O70:O74"/>
    <mergeCell ref="P70:P74"/>
    <mergeCell ref="Q70:Q74"/>
    <mergeCell ref="R70:R74"/>
    <mergeCell ref="BI75:BI79"/>
    <mergeCell ref="BJ75:BJ79"/>
    <mergeCell ref="BK75:BK79"/>
    <mergeCell ref="BL75:BL79"/>
    <mergeCell ref="BM75:BM79"/>
    <mergeCell ref="BN75:BN79"/>
    <mergeCell ref="AQ75:AQ79"/>
    <mergeCell ref="AR75:AR79"/>
    <mergeCell ref="BE75:BE79"/>
    <mergeCell ref="BF75:BF79"/>
    <mergeCell ref="BG75:BG79"/>
    <mergeCell ref="BH75:BH79"/>
    <mergeCell ref="AK75:AK79"/>
    <mergeCell ref="AL75:AL79"/>
    <mergeCell ref="AM75:AM79"/>
    <mergeCell ref="AN75:AN79"/>
    <mergeCell ref="AO75:AO79"/>
    <mergeCell ref="AP75:AP79"/>
    <mergeCell ref="BN80:BN84"/>
    <mergeCell ref="AQ80:AQ84"/>
    <mergeCell ref="AR80:AR84"/>
    <mergeCell ref="BE80:BE84"/>
    <mergeCell ref="BF80:BF84"/>
    <mergeCell ref="BG80:BG84"/>
    <mergeCell ref="BH80:BH84"/>
    <mergeCell ref="AK80:AK84"/>
    <mergeCell ref="AL80:AL84"/>
    <mergeCell ref="AM80:AM84"/>
    <mergeCell ref="AN80:AN84"/>
    <mergeCell ref="AO80:AO84"/>
    <mergeCell ref="AP80:AP84"/>
    <mergeCell ref="S80:S84"/>
    <mergeCell ref="T80:T84"/>
    <mergeCell ref="U80:U84"/>
    <mergeCell ref="V80:V84"/>
    <mergeCell ref="AI80:AI84"/>
    <mergeCell ref="AJ80:AJ84"/>
    <mergeCell ref="M85:M89"/>
    <mergeCell ref="N85:N89"/>
    <mergeCell ref="O85:O89"/>
    <mergeCell ref="P85:P89"/>
    <mergeCell ref="Q85:Q89"/>
    <mergeCell ref="R85:R89"/>
    <mergeCell ref="BI80:BI84"/>
    <mergeCell ref="BJ80:BJ84"/>
    <mergeCell ref="BK80:BK84"/>
    <mergeCell ref="BL80:BL84"/>
    <mergeCell ref="BM80:BM84"/>
    <mergeCell ref="M80:M84"/>
    <mergeCell ref="N80:N84"/>
    <mergeCell ref="O80:O84"/>
    <mergeCell ref="P80:P84"/>
    <mergeCell ref="Q80:Q84"/>
    <mergeCell ref="R80:R84"/>
    <mergeCell ref="BI85:BI89"/>
    <mergeCell ref="BJ85:BJ89"/>
    <mergeCell ref="BK85:BK89"/>
    <mergeCell ref="BL85:BL89"/>
    <mergeCell ref="BM85:BM89"/>
    <mergeCell ref="BN85:BN89"/>
    <mergeCell ref="AQ85:AQ89"/>
    <mergeCell ref="AR85:AR89"/>
    <mergeCell ref="BE85:BE89"/>
    <mergeCell ref="BF85:BF89"/>
    <mergeCell ref="BG85:BG89"/>
    <mergeCell ref="BH85:BH89"/>
    <mergeCell ref="AK85:AK89"/>
    <mergeCell ref="AL85:AL89"/>
    <mergeCell ref="AM85:AM89"/>
    <mergeCell ref="AN85:AN89"/>
    <mergeCell ref="AO85:AO89"/>
    <mergeCell ref="AP85:AP89"/>
    <mergeCell ref="S85:S89"/>
    <mergeCell ref="T85:T89"/>
    <mergeCell ref="U85:U89"/>
    <mergeCell ref="V85:V89"/>
    <mergeCell ref="AI85:AI89"/>
    <mergeCell ref="AJ85:AJ89"/>
  </mergeCells>
  <phoneticPr fontId="2"/>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B3:O60"/>
  <sheetViews>
    <sheetView topLeftCell="A19" zoomScale="62" zoomScaleNormal="62" workbookViewId="0">
      <selection activeCell="R30" sqref="R30"/>
    </sheetView>
  </sheetViews>
  <sheetFormatPr defaultRowHeight="13"/>
  <sheetData>
    <row r="3" spans="2:14" ht="9" customHeight="1">
      <c r="B3" s="2032" t="s">
        <v>318</v>
      </c>
      <c r="C3" s="2032"/>
      <c r="D3" s="2032"/>
      <c r="E3" s="2032"/>
      <c r="F3" s="2032"/>
      <c r="G3" s="2032"/>
      <c r="H3" s="2032"/>
      <c r="I3" s="2032"/>
      <c r="J3" s="2032"/>
      <c r="K3" s="2032"/>
      <c r="L3" s="2032"/>
      <c r="M3" s="739"/>
      <c r="N3" s="739"/>
    </row>
    <row r="4" spans="2:14" ht="9" customHeight="1">
      <c r="B4" s="2032"/>
      <c r="C4" s="2032"/>
      <c r="D4" s="2032"/>
      <c r="E4" s="2032"/>
      <c r="F4" s="2032"/>
      <c r="G4" s="2032"/>
      <c r="H4" s="2032"/>
      <c r="I4" s="2032"/>
      <c r="J4" s="2032"/>
      <c r="K4" s="2032"/>
      <c r="L4" s="2032"/>
      <c r="M4" s="739"/>
      <c r="N4" s="739"/>
    </row>
    <row r="5" spans="2:14" ht="9" customHeight="1">
      <c r="B5" s="2032"/>
      <c r="C5" s="2032"/>
      <c r="D5" s="2032"/>
      <c r="E5" s="2032"/>
      <c r="F5" s="2032"/>
      <c r="G5" s="2032"/>
      <c r="H5" s="2032"/>
      <c r="I5" s="2032"/>
      <c r="J5" s="2032"/>
      <c r="K5" s="2032"/>
      <c r="L5" s="2032"/>
      <c r="M5" s="835"/>
      <c r="N5" s="835"/>
    </row>
    <row r="6" spans="2:14" ht="9" customHeight="1">
      <c r="B6" s="2025" t="s">
        <v>319</v>
      </c>
      <c r="C6" s="2025"/>
      <c r="D6" s="2025"/>
      <c r="E6" s="2025" t="s">
        <v>320</v>
      </c>
      <c r="F6" s="2025"/>
      <c r="G6" s="2025"/>
      <c r="H6" s="2025"/>
      <c r="I6" s="2033" t="s">
        <v>321</v>
      </c>
      <c r="J6" s="2033"/>
      <c r="K6" s="2033"/>
      <c r="L6" s="2033"/>
      <c r="M6" s="2033"/>
      <c r="N6" s="836"/>
    </row>
    <row r="7" spans="2:14" ht="9" customHeight="1">
      <c r="B7" s="2022"/>
      <c r="C7" s="2022"/>
      <c r="D7" s="2022"/>
      <c r="E7" s="2022"/>
      <c r="F7" s="2022"/>
      <c r="G7" s="2022"/>
      <c r="H7" s="2022"/>
      <c r="I7" s="2034"/>
      <c r="J7" s="2034"/>
      <c r="K7" s="2034"/>
      <c r="L7" s="2034"/>
      <c r="M7" s="2034"/>
      <c r="N7" s="836"/>
    </row>
    <row r="8" spans="2:14" ht="9" customHeight="1">
      <c r="B8" s="2026"/>
      <c r="C8" s="2026"/>
      <c r="D8" s="2026"/>
      <c r="E8" s="2026"/>
      <c r="F8" s="2026"/>
      <c r="G8" s="2026"/>
      <c r="H8" s="2026"/>
      <c r="I8" s="2035"/>
      <c r="J8" s="2035"/>
      <c r="K8" s="2035"/>
      <c r="L8" s="2035"/>
      <c r="M8" s="2035"/>
      <c r="N8" s="836"/>
    </row>
    <row r="9" spans="2:14" ht="9" customHeight="1">
      <c r="B9" s="2021">
        <v>43593</v>
      </c>
      <c r="C9" s="2021"/>
      <c r="D9" s="2021"/>
      <c r="E9" s="2023">
        <v>33.299999999999997</v>
      </c>
      <c r="F9" s="2023"/>
      <c r="G9" s="2023"/>
      <c r="H9" s="2023"/>
      <c r="I9" s="2036">
        <v>0</v>
      </c>
      <c r="J9" s="2036"/>
      <c r="K9" s="2036"/>
      <c r="L9" s="2036"/>
      <c r="M9" s="2036"/>
      <c r="N9" s="836"/>
    </row>
    <row r="10" spans="2:14" ht="9" customHeight="1">
      <c r="B10" s="2021"/>
      <c r="C10" s="2021"/>
      <c r="D10" s="2021"/>
      <c r="E10" s="2023"/>
      <c r="F10" s="2023"/>
      <c r="G10" s="2023"/>
      <c r="H10" s="2023"/>
      <c r="I10" s="2036"/>
      <c r="J10" s="2036"/>
      <c r="K10" s="2036"/>
      <c r="L10" s="2036"/>
      <c r="M10" s="2036"/>
      <c r="N10" s="836"/>
    </row>
    <row r="11" spans="2:14" ht="9" customHeight="1">
      <c r="B11" s="2021"/>
      <c r="C11" s="2021"/>
      <c r="D11" s="2021"/>
      <c r="E11" s="2023"/>
      <c r="F11" s="2023"/>
      <c r="G11" s="2023"/>
      <c r="H11" s="2023"/>
      <c r="I11" s="2036"/>
      <c r="J11" s="2036"/>
      <c r="K11" s="2036"/>
      <c r="L11" s="2036"/>
      <c r="M11" s="2036"/>
      <c r="N11" s="836"/>
    </row>
    <row r="12" spans="2:14" ht="9" customHeight="1">
      <c r="B12" s="2021">
        <v>43601</v>
      </c>
      <c r="C12" s="2022"/>
      <c r="D12" s="2022"/>
      <c r="E12" s="2023">
        <v>94.3</v>
      </c>
      <c r="F12" s="2023"/>
      <c r="G12" s="2023"/>
      <c r="H12" s="2023"/>
      <c r="I12" s="2023">
        <v>2.4</v>
      </c>
      <c r="J12" s="2023"/>
      <c r="K12" s="2023"/>
      <c r="L12" s="2023"/>
      <c r="M12" s="2023"/>
      <c r="N12" s="836"/>
    </row>
    <row r="13" spans="2:14" ht="9" customHeight="1">
      <c r="B13" s="2022"/>
      <c r="C13" s="2022"/>
      <c r="D13" s="2022"/>
      <c r="E13" s="2023"/>
      <c r="F13" s="2023"/>
      <c r="G13" s="2023"/>
      <c r="H13" s="2023"/>
      <c r="I13" s="2023"/>
      <c r="J13" s="2023"/>
      <c r="K13" s="2023"/>
      <c r="L13" s="2023"/>
      <c r="M13" s="2023"/>
      <c r="N13" s="836"/>
    </row>
    <row r="14" spans="2:14" ht="9" customHeight="1">
      <c r="B14" s="2022"/>
      <c r="C14" s="2022"/>
      <c r="D14" s="2022"/>
      <c r="E14" s="2023"/>
      <c r="F14" s="2023"/>
      <c r="G14" s="2023"/>
      <c r="H14" s="2023"/>
      <c r="I14" s="2023"/>
      <c r="J14" s="2023"/>
      <c r="K14" s="2023"/>
      <c r="L14" s="2023"/>
      <c r="M14" s="2023"/>
      <c r="N14" s="836"/>
    </row>
    <row r="15" spans="2:14" ht="9" customHeight="1">
      <c r="B15" s="2021">
        <v>43605</v>
      </c>
      <c r="C15" s="2022"/>
      <c r="D15" s="2022"/>
      <c r="E15" s="2023">
        <v>98</v>
      </c>
      <c r="F15" s="2023"/>
      <c r="G15" s="2023"/>
      <c r="H15" s="2023"/>
      <c r="I15" s="2023">
        <v>42.9</v>
      </c>
      <c r="J15" s="2023"/>
      <c r="K15" s="2023"/>
      <c r="L15" s="2023"/>
      <c r="M15" s="2023"/>
      <c r="N15" s="836"/>
    </row>
    <row r="16" spans="2:14" ht="9" customHeight="1">
      <c r="B16" s="2022"/>
      <c r="C16" s="2022"/>
      <c r="D16" s="2022"/>
      <c r="E16" s="2023"/>
      <c r="F16" s="2023"/>
      <c r="G16" s="2023"/>
      <c r="H16" s="2023"/>
      <c r="I16" s="2023"/>
      <c r="J16" s="2023"/>
      <c r="K16" s="2023"/>
      <c r="L16" s="2023"/>
      <c r="M16" s="2023"/>
      <c r="N16" s="836"/>
    </row>
    <row r="17" spans="2:15" ht="9" customHeight="1">
      <c r="B17" s="2022"/>
      <c r="C17" s="2022"/>
      <c r="D17" s="2022"/>
      <c r="E17" s="2023"/>
      <c r="F17" s="2023"/>
      <c r="G17" s="2023"/>
      <c r="H17" s="2023"/>
      <c r="I17" s="2023"/>
      <c r="J17" s="2023"/>
      <c r="K17" s="2023"/>
      <c r="L17" s="2023"/>
      <c r="M17" s="2023"/>
      <c r="N17" s="836"/>
    </row>
    <row r="18" spans="2:15" ht="9" customHeight="1">
      <c r="B18" s="2021">
        <v>43606</v>
      </c>
      <c r="C18" s="2022"/>
      <c r="D18" s="2022"/>
      <c r="E18" s="2023">
        <v>97</v>
      </c>
      <c r="F18" s="2023"/>
      <c r="G18" s="2023"/>
      <c r="H18" s="2023"/>
      <c r="I18" s="2023">
        <v>83</v>
      </c>
      <c r="J18" s="2023"/>
      <c r="K18" s="2023"/>
      <c r="L18" s="2023"/>
      <c r="M18" s="2023"/>
      <c r="N18" s="836"/>
    </row>
    <row r="19" spans="2:15" ht="9" customHeight="1">
      <c r="B19" s="2022"/>
      <c r="C19" s="2022"/>
      <c r="D19" s="2022"/>
      <c r="E19" s="2023"/>
      <c r="F19" s="2023"/>
      <c r="G19" s="2023"/>
      <c r="H19" s="2023"/>
      <c r="I19" s="2023"/>
      <c r="J19" s="2023"/>
      <c r="K19" s="2023"/>
      <c r="L19" s="2023"/>
      <c r="M19" s="2023"/>
      <c r="N19" s="836"/>
    </row>
    <row r="20" spans="2:15" ht="9" customHeight="1">
      <c r="B20" s="2022"/>
      <c r="C20" s="2022"/>
      <c r="D20" s="2022"/>
      <c r="E20" s="2023"/>
      <c r="F20" s="2023"/>
      <c r="G20" s="2023"/>
      <c r="H20" s="2023"/>
      <c r="I20" s="2023"/>
      <c r="J20" s="2023"/>
      <c r="K20" s="2023"/>
      <c r="L20" s="2023"/>
      <c r="M20" s="2023"/>
      <c r="N20" s="836"/>
    </row>
    <row r="21" spans="2:15" ht="9" customHeight="1">
      <c r="B21" s="2021"/>
      <c r="C21" s="2022"/>
      <c r="D21" s="2022"/>
      <c r="E21" s="2023"/>
      <c r="F21" s="2023"/>
      <c r="G21" s="2023"/>
      <c r="H21" s="2023"/>
      <c r="I21" s="2023"/>
      <c r="J21" s="2023"/>
      <c r="K21" s="2023"/>
      <c r="L21" s="2023"/>
      <c r="M21" s="2023"/>
      <c r="N21" s="836"/>
    </row>
    <row r="22" spans="2:15" ht="9" customHeight="1">
      <c r="B22" s="2022"/>
      <c r="C22" s="2022"/>
      <c r="D22" s="2022"/>
      <c r="E22" s="2023"/>
      <c r="F22" s="2023"/>
      <c r="G22" s="2023"/>
      <c r="H22" s="2023"/>
      <c r="I22" s="2023"/>
      <c r="J22" s="2023"/>
      <c r="K22" s="2023"/>
      <c r="L22" s="2023"/>
      <c r="M22" s="2023"/>
      <c r="N22" s="836"/>
    </row>
    <row r="23" spans="2:15" ht="9" customHeight="1">
      <c r="B23" s="2022"/>
      <c r="C23" s="2022"/>
      <c r="D23" s="2022"/>
      <c r="E23" s="2023"/>
      <c r="F23" s="2023"/>
      <c r="G23" s="2023"/>
      <c r="H23" s="2023"/>
      <c r="I23" s="2023"/>
      <c r="J23" s="2023"/>
      <c r="K23" s="2023"/>
      <c r="L23" s="2023"/>
      <c r="M23" s="2023"/>
      <c r="N23" s="836"/>
    </row>
    <row r="24" spans="2:15" ht="9" customHeight="1">
      <c r="B24" s="2024" t="s">
        <v>322</v>
      </c>
      <c r="C24" s="2025"/>
      <c r="D24" s="2025"/>
      <c r="E24" s="2027" t="s">
        <v>324</v>
      </c>
      <c r="F24" s="2027"/>
      <c r="G24" s="2027"/>
      <c r="H24" s="2027"/>
      <c r="I24" s="2030" t="s">
        <v>323</v>
      </c>
      <c r="J24" s="2030"/>
      <c r="K24" s="2030"/>
      <c r="L24" s="2030"/>
      <c r="M24" s="2030"/>
      <c r="N24" s="836"/>
    </row>
    <row r="25" spans="2:15" ht="9" customHeight="1">
      <c r="B25" s="2022"/>
      <c r="C25" s="2022"/>
      <c r="D25" s="2022"/>
      <c r="E25" s="2028"/>
      <c r="F25" s="2028"/>
      <c r="G25" s="2028"/>
      <c r="H25" s="2028"/>
      <c r="I25" s="2023"/>
      <c r="J25" s="2023"/>
      <c r="K25" s="2023"/>
      <c r="L25" s="2023"/>
      <c r="M25" s="2023"/>
      <c r="N25" s="836"/>
    </row>
    <row r="26" spans="2:15" ht="9" customHeight="1">
      <c r="B26" s="2026"/>
      <c r="C26" s="2026"/>
      <c r="D26" s="2026"/>
      <c r="E26" s="2029"/>
      <c r="F26" s="2029"/>
      <c r="G26" s="2029"/>
      <c r="H26" s="2029"/>
      <c r="I26" s="2031"/>
      <c r="J26" s="2031"/>
      <c r="K26" s="2031"/>
      <c r="L26" s="2031"/>
      <c r="M26" s="2031"/>
      <c r="N26" s="836"/>
    </row>
    <row r="31" spans="2:15" ht="28">
      <c r="B31" s="2032" t="s">
        <v>337</v>
      </c>
      <c r="C31" s="2032"/>
      <c r="D31" s="2032"/>
      <c r="E31" s="2032"/>
      <c r="F31" s="2032"/>
      <c r="G31" s="2032"/>
      <c r="H31" s="2032"/>
      <c r="I31" s="2032"/>
      <c r="J31" s="2032"/>
      <c r="K31" s="2032"/>
      <c r="L31" s="2032"/>
      <c r="M31" s="739"/>
      <c r="O31" s="1"/>
    </row>
    <row r="32" spans="2:15" ht="28">
      <c r="B32" s="2032"/>
      <c r="C32" s="2032"/>
      <c r="D32" s="2032"/>
      <c r="E32" s="2032"/>
      <c r="F32" s="2032"/>
      <c r="G32" s="2032"/>
      <c r="H32" s="2032"/>
      <c r="I32" s="2032"/>
      <c r="J32" s="2032"/>
      <c r="K32" s="2032"/>
      <c r="L32" s="2032"/>
      <c r="M32" s="739"/>
      <c r="O32" s="1"/>
    </row>
    <row r="33" spans="2:15" ht="28">
      <c r="B33" s="2032"/>
      <c r="C33" s="2032"/>
      <c r="D33" s="2032"/>
      <c r="E33" s="2032"/>
      <c r="F33" s="2032"/>
      <c r="G33" s="2032"/>
      <c r="H33" s="2032"/>
      <c r="I33" s="2032"/>
      <c r="J33" s="2032"/>
      <c r="K33" s="2032"/>
      <c r="L33" s="2032"/>
      <c r="M33" s="835"/>
      <c r="O33" s="837"/>
    </row>
    <row r="34" spans="2:15">
      <c r="B34" s="2025" t="s">
        <v>319</v>
      </c>
      <c r="C34" s="2025"/>
      <c r="D34" s="2025"/>
      <c r="E34" s="2025" t="s">
        <v>320</v>
      </c>
      <c r="F34" s="2025"/>
      <c r="G34" s="2025"/>
      <c r="H34" s="2025"/>
      <c r="I34" s="2033" t="s">
        <v>321</v>
      </c>
      <c r="J34" s="2033"/>
      <c r="K34" s="2033"/>
      <c r="L34" s="2033"/>
      <c r="M34" s="2033"/>
      <c r="O34" s="836"/>
    </row>
    <row r="35" spans="2:15">
      <c r="B35" s="2022"/>
      <c r="C35" s="2022"/>
      <c r="D35" s="2022"/>
      <c r="E35" s="2022"/>
      <c r="F35" s="2022"/>
      <c r="G35" s="2022"/>
      <c r="H35" s="2022"/>
      <c r="I35" s="2034"/>
      <c r="J35" s="2034"/>
      <c r="K35" s="2034"/>
      <c r="L35" s="2034"/>
      <c r="M35" s="2034"/>
      <c r="O35" s="836"/>
    </row>
    <row r="36" spans="2:15">
      <c r="B36" s="2026"/>
      <c r="C36" s="2026"/>
      <c r="D36" s="2026"/>
      <c r="E36" s="2026"/>
      <c r="F36" s="2026"/>
      <c r="G36" s="2026"/>
      <c r="H36" s="2026"/>
      <c r="I36" s="2035"/>
      <c r="J36" s="2035"/>
      <c r="K36" s="2035"/>
      <c r="L36" s="2035"/>
      <c r="M36" s="2035"/>
      <c r="O36" s="836"/>
    </row>
    <row r="37" spans="2:15">
      <c r="B37" s="2021">
        <v>44022</v>
      </c>
      <c r="C37" s="2022"/>
      <c r="D37" s="2022"/>
      <c r="E37" s="2023">
        <v>66</v>
      </c>
      <c r="F37" s="2023"/>
      <c r="G37" s="2023"/>
      <c r="H37" s="2023"/>
      <c r="I37" s="2023">
        <v>0</v>
      </c>
      <c r="J37" s="2023"/>
      <c r="K37" s="2023"/>
      <c r="L37" s="2023"/>
      <c r="M37" s="2023"/>
      <c r="O37" s="836"/>
    </row>
    <row r="38" spans="2:15">
      <c r="B38" s="2022"/>
      <c r="C38" s="2022"/>
      <c r="D38" s="2022"/>
      <c r="E38" s="2023"/>
      <c r="F38" s="2023"/>
      <c r="G38" s="2023"/>
      <c r="H38" s="2023"/>
      <c r="I38" s="2023"/>
      <c r="J38" s="2023"/>
      <c r="K38" s="2023"/>
      <c r="L38" s="2023"/>
      <c r="M38" s="2023"/>
      <c r="O38" s="836"/>
    </row>
    <row r="39" spans="2:15">
      <c r="B39" s="2022"/>
      <c r="C39" s="2022"/>
      <c r="D39" s="2022"/>
      <c r="E39" s="2023"/>
      <c r="F39" s="2023"/>
      <c r="G39" s="2023"/>
      <c r="H39" s="2023"/>
      <c r="I39" s="2023"/>
      <c r="J39" s="2023"/>
      <c r="K39" s="2023"/>
      <c r="L39" s="2023"/>
      <c r="M39" s="2023"/>
      <c r="O39" s="836"/>
    </row>
    <row r="40" spans="2:15">
      <c r="B40" s="2021">
        <v>44024</v>
      </c>
      <c r="C40" s="2022"/>
      <c r="D40" s="2022"/>
      <c r="E40" s="2023">
        <v>72.7</v>
      </c>
      <c r="F40" s="2023"/>
      <c r="G40" s="2023"/>
      <c r="H40" s="2023"/>
      <c r="I40" s="2023">
        <v>0</v>
      </c>
      <c r="J40" s="2023"/>
      <c r="K40" s="2023"/>
      <c r="L40" s="2023"/>
      <c r="M40" s="2023"/>
      <c r="O40" s="836"/>
    </row>
    <row r="41" spans="2:15">
      <c r="B41" s="2022"/>
      <c r="C41" s="2022"/>
      <c r="D41" s="2022"/>
      <c r="E41" s="2023"/>
      <c r="F41" s="2023"/>
      <c r="G41" s="2023"/>
      <c r="H41" s="2023"/>
      <c r="I41" s="2023"/>
      <c r="J41" s="2023"/>
      <c r="K41" s="2023"/>
      <c r="L41" s="2023"/>
      <c r="M41" s="2023"/>
      <c r="O41" s="836"/>
    </row>
    <row r="42" spans="2:15">
      <c r="B42" s="2022"/>
      <c r="C42" s="2022"/>
      <c r="D42" s="2022"/>
      <c r="E42" s="2023"/>
      <c r="F42" s="2023"/>
      <c r="G42" s="2023"/>
      <c r="H42" s="2023"/>
      <c r="I42" s="2023"/>
      <c r="J42" s="2023"/>
      <c r="K42" s="2023"/>
      <c r="L42" s="2023"/>
      <c r="M42" s="2023"/>
      <c r="O42" s="836"/>
    </row>
    <row r="43" spans="2:15">
      <c r="B43" s="2021">
        <v>44025</v>
      </c>
      <c r="C43" s="2022"/>
      <c r="D43" s="2022"/>
      <c r="E43" s="2023">
        <v>87.9</v>
      </c>
      <c r="F43" s="2023"/>
      <c r="G43" s="2023"/>
      <c r="H43" s="2023"/>
      <c r="I43" s="2023">
        <v>3.9</v>
      </c>
      <c r="J43" s="2023"/>
      <c r="K43" s="2023"/>
      <c r="L43" s="2023"/>
      <c r="M43" s="2023"/>
      <c r="O43" s="836"/>
    </row>
    <row r="44" spans="2:15">
      <c r="B44" s="2022"/>
      <c r="C44" s="2022"/>
      <c r="D44" s="2022"/>
      <c r="E44" s="2023"/>
      <c r="F44" s="2023"/>
      <c r="G44" s="2023"/>
      <c r="H44" s="2023"/>
      <c r="I44" s="2023"/>
      <c r="J44" s="2023"/>
      <c r="K44" s="2023"/>
      <c r="L44" s="2023"/>
      <c r="M44" s="2023"/>
      <c r="O44" s="836"/>
    </row>
    <row r="45" spans="2:15">
      <c r="B45" s="2022"/>
      <c r="C45" s="2022"/>
      <c r="D45" s="2022"/>
      <c r="E45" s="2023"/>
      <c r="F45" s="2023"/>
      <c r="G45" s="2023"/>
      <c r="H45" s="2023"/>
      <c r="I45" s="2023"/>
      <c r="J45" s="2023"/>
      <c r="K45" s="2023"/>
      <c r="L45" s="2023"/>
      <c r="M45" s="2023"/>
      <c r="O45" s="836"/>
    </row>
    <row r="46" spans="2:15">
      <c r="B46" s="2021">
        <v>44026</v>
      </c>
      <c r="C46" s="2022"/>
      <c r="D46" s="2022"/>
      <c r="E46" s="2023">
        <v>93.3</v>
      </c>
      <c r="F46" s="2023"/>
      <c r="G46" s="2023"/>
      <c r="H46" s="2023"/>
      <c r="I46" s="2023">
        <v>13.4</v>
      </c>
      <c r="J46" s="2023"/>
      <c r="K46" s="2023"/>
      <c r="L46" s="2023"/>
      <c r="M46" s="2023"/>
      <c r="O46" s="836"/>
    </row>
    <row r="47" spans="2:15">
      <c r="B47" s="2022"/>
      <c r="C47" s="2022"/>
      <c r="D47" s="2022"/>
      <c r="E47" s="2023"/>
      <c r="F47" s="2023"/>
      <c r="G47" s="2023"/>
      <c r="H47" s="2023"/>
      <c r="I47" s="2023"/>
      <c r="J47" s="2023"/>
      <c r="K47" s="2023"/>
      <c r="L47" s="2023"/>
      <c r="M47" s="2023"/>
      <c r="O47" s="836"/>
    </row>
    <row r="48" spans="2:15">
      <c r="B48" s="2022"/>
      <c r="C48" s="2022"/>
      <c r="D48" s="2022"/>
      <c r="E48" s="2023"/>
      <c r="F48" s="2023"/>
      <c r="G48" s="2023"/>
      <c r="H48" s="2023"/>
      <c r="I48" s="2023"/>
      <c r="J48" s="2023"/>
      <c r="K48" s="2023"/>
      <c r="L48" s="2023"/>
      <c r="M48" s="2023"/>
      <c r="O48" s="836"/>
    </row>
    <row r="49" spans="2:15">
      <c r="B49" s="2021">
        <v>44027</v>
      </c>
      <c r="C49" s="2022"/>
      <c r="D49" s="2022"/>
      <c r="E49" s="2023">
        <v>95.5</v>
      </c>
      <c r="F49" s="2023"/>
      <c r="G49" s="2023"/>
      <c r="H49" s="2023"/>
      <c r="I49" s="2023">
        <v>15</v>
      </c>
      <c r="J49" s="2023"/>
      <c r="K49" s="2023"/>
      <c r="L49" s="2023"/>
      <c r="M49" s="2023"/>
      <c r="O49" s="836"/>
    </row>
    <row r="50" spans="2:15">
      <c r="B50" s="2022"/>
      <c r="C50" s="2022"/>
      <c r="D50" s="2022"/>
      <c r="E50" s="2023"/>
      <c r="F50" s="2023"/>
      <c r="G50" s="2023"/>
      <c r="H50" s="2023"/>
      <c r="I50" s="2023"/>
      <c r="J50" s="2023"/>
      <c r="K50" s="2023"/>
      <c r="L50" s="2023"/>
      <c r="M50" s="2023"/>
      <c r="O50" s="836"/>
    </row>
    <row r="51" spans="2:15">
      <c r="B51" s="2022"/>
      <c r="C51" s="2022"/>
      <c r="D51" s="2022"/>
      <c r="E51" s="2023"/>
      <c r="F51" s="2023"/>
      <c r="G51" s="2023"/>
      <c r="H51" s="2023"/>
      <c r="I51" s="2023"/>
      <c r="J51" s="2023"/>
      <c r="K51" s="2023"/>
      <c r="L51" s="2023"/>
      <c r="M51" s="2023"/>
      <c r="O51" s="836"/>
    </row>
    <row r="52" spans="2:15">
      <c r="B52" s="2021">
        <v>44028</v>
      </c>
      <c r="C52" s="2022"/>
      <c r="D52" s="2022"/>
      <c r="E52" s="2023">
        <v>94.8</v>
      </c>
      <c r="F52" s="2023"/>
      <c r="G52" s="2023"/>
      <c r="H52" s="2023"/>
      <c r="I52" s="2023">
        <v>40.9</v>
      </c>
      <c r="J52" s="2023"/>
      <c r="K52" s="2023"/>
      <c r="L52" s="2023"/>
      <c r="M52" s="2023"/>
      <c r="O52" s="836"/>
    </row>
    <row r="53" spans="2:15">
      <c r="B53" s="2022"/>
      <c r="C53" s="2022"/>
      <c r="D53" s="2022"/>
      <c r="E53" s="2023"/>
      <c r="F53" s="2023"/>
      <c r="G53" s="2023"/>
      <c r="H53" s="2023"/>
      <c r="I53" s="2023"/>
      <c r="J53" s="2023"/>
      <c r="K53" s="2023"/>
      <c r="L53" s="2023"/>
      <c r="M53" s="2023"/>
      <c r="O53" s="836"/>
    </row>
    <row r="54" spans="2:15">
      <c r="B54" s="2022"/>
      <c r="C54" s="2022"/>
      <c r="D54" s="2022"/>
      <c r="E54" s="2023"/>
      <c r="F54" s="2023"/>
      <c r="G54" s="2023"/>
      <c r="H54" s="2023"/>
      <c r="I54" s="2023"/>
      <c r="J54" s="2023"/>
      <c r="K54" s="2023"/>
      <c r="L54" s="2023"/>
      <c r="M54" s="2023"/>
      <c r="O54" s="836"/>
    </row>
    <row r="55" spans="2:15">
      <c r="B55" s="2021">
        <v>44029</v>
      </c>
      <c r="C55" s="2022"/>
      <c r="D55" s="2022"/>
      <c r="E55" s="2023">
        <v>99.2</v>
      </c>
      <c r="F55" s="2023"/>
      <c r="G55" s="2023"/>
      <c r="H55" s="2023"/>
      <c r="I55" s="2023">
        <v>61.3</v>
      </c>
      <c r="J55" s="2023"/>
      <c r="K55" s="2023"/>
      <c r="L55" s="2023"/>
      <c r="M55" s="2023"/>
      <c r="N55" s="836"/>
      <c r="O55" s="836"/>
    </row>
    <row r="56" spans="2:15">
      <c r="B56" s="2022"/>
      <c r="C56" s="2022"/>
      <c r="D56" s="2022"/>
      <c r="E56" s="2023"/>
      <c r="F56" s="2023"/>
      <c r="G56" s="2023"/>
      <c r="H56" s="2023"/>
      <c r="I56" s="2023"/>
      <c r="J56" s="2023"/>
      <c r="K56" s="2023"/>
      <c r="L56" s="2023"/>
      <c r="M56" s="2023"/>
      <c r="N56" s="836"/>
      <c r="O56" s="836"/>
    </row>
    <row r="57" spans="2:15">
      <c r="B57" s="2022"/>
      <c r="C57" s="2022"/>
      <c r="D57" s="2022"/>
      <c r="E57" s="2023"/>
      <c r="F57" s="2023"/>
      <c r="G57" s="2023"/>
      <c r="H57" s="2023"/>
      <c r="I57" s="2023"/>
      <c r="J57" s="2023"/>
      <c r="K57" s="2023"/>
      <c r="L57" s="2023"/>
      <c r="M57" s="2023"/>
      <c r="N57" s="837"/>
      <c r="O57" s="837"/>
    </row>
    <row r="58" spans="2:15">
      <c r="B58" s="2024" t="s">
        <v>322</v>
      </c>
      <c r="C58" s="2025"/>
      <c r="D58" s="2025"/>
      <c r="E58" s="2027">
        <v>44029</v>
      </c>
      <c r="F58" s="2027"/>
      <c r="G58" s="2027"/>
      <c r="H58" s="2027"/>
      <c r="I58" s="2030" t="s">
        <v>336</v>
      </c>
      <c r="J58" s="2030"/>
      <c r="K58" s="2030"/>
      <c r="L58" s="2030"/>
      <c r="M58" s="2030"/>
      <c r="N58" s="231"/>
      <c r="O58" s="231"/>
    </row>
    <row r="59" spans="2:15">
      <c r="B59" s="2022"/>
      <c r="C59" s="2022"/>
      <c r="D59" s="2022"/>
      <c r="E59" s="2028"/>
      <c r="F59" s="2028"/>
      <c r="G59" s="2028"/>
      <c r="H59" s="2028"/>
      <c r="I59" s="2023"/>
      <c r="J59" s="2023"/>
      <c r="K59" s="2023"/>
      <c r="L59" s="2023"/>
      <c r="M59" s="2023"/>
    </row>
    <row r="60" spans="2:15">
      <c r="B60" s="2026"/>
      <c r="C60" s="2026"/>
      <c r="D60" s="2026"/>
      <c r="E60" s="2029"/>
      <c r="F60" s="2029"/>
      <c r="G60" s="2029"/>
      <c r="H60" s="2029"/>
      <c r="I60" s="2031"/>
      <c r="J60" s="2031"/>
      <c r="K60" s="2031"/>
      <c r="L60" s="2031"/>
      <c r="M60" s="2031"/>
    </row>
  </sheetData>
  <mergeCells count="50">
    <mergeCell ref="B24:D26"/>
    <mergeCell ref="B6:D8"/>
    <mergeCell ref="B9:D11"/>
    <mergeCell ref="B12:D14"/>
    <mergeCell ref="B3:L5"/>
    <mergeCell ref="E6:H8"/>
    <mergeCell ref="I6:M8"/>
    <mergeCell ref="E9:H11"/>
    <mergeCell ref="E12:H14"/>
    <mergeCell ref="E15:H17"/>
    <mergeCell ref="E24:H26"/>
    <mergeCell ref="I9:M11"/>
    <mergeCell ref="I12:M14"/>
    <mergeCell ref="I15:M17"/>
    <mergeCell ref="I18:M20"/>
    <mergeCell ref="I24:M26"/>
    <mergeCell ref="E21:H23"/>
    <mergeCell ref="I21:M23"/>
    <mergeCell ref="E18:H20"/>
    <mergeCell ref="B15:D17"/>
    <mergeCell ref="B18:D20"/>
    <mergeCell ref="B21:D23"/>
    <mergeCell ref="B37:D39"/>
    <mergeCell ref="E37:H39"/>
    <mergeCell ref="I37:M39"/>
    <mergeCell ref="B31:L33"/>
    <mergeCell ref="B34:D36"/>
    <mergeCell ref="E34:H36"/>
    <mergeCell ref="I34:M36"/>
    <mergeCell ref="B40:D42"/>
    <mergeCell ref="E40:H42"/>
    <mergeCell ref="I40:M42"/>
    <mergeCell ref="B43:D45"/>
    <mergeCell ref="E43:H45"/>
    <mergeCell ref="I43:M45"/>
    <mergeCell ref="B46:D48"/>
    <mergeCell ref="E46:H48"/>
    <mergeCell ref="I46:M48"/>
    <mergeCell ref="B58:D60"/>
    <mergeCell ref="E58:H60"/>
    <mergeCell ref="I58:M60"/>
    <mergeCell ref="B49:D51"/>
    <mergeCell ref="E49:H51"/>
    <mergeCell ref="I49:M51"/>
    <mergeCell ref="B52:D54"/>
    <mergeCell ref="E52:H54"/>
    <mergeCell ref="I52:M54"/>
    <mergeCell ref="B55:D57"/>
    <mergeCell ref="E55:H57"/>
    <mergeCell ref="I55:M57"/>
  </mergeCells>
  <phoneticPr fontId="2"/>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FFFF00"/>
  </sheetPr>
  <dimension ref="A2:I58"/>
  <sheetViews>
    <sheetView view="pageBreakPreview" zoomScale="120" zoomScaleNormal="100" zoomScaleSheetLayoutView="120" workbookViewId="0">
      <selection activeCell="K17" sqref="K17"/>
    </sheetView>
  </sheetViews>
  <sheetFormatPr defaultRowHeight="13"/>
  <sheetData>
    <row r="2" spans="1:9">
      <c r="C2" s="790">
        <v>2015</v>
      </c>
      <c r="D2" s="791">
        <v>2016</v>
      </c>
      <c r="E2" s="791">
        <v>2017</v>
      </c>
      <c r="F2" s="962">
        <v>2018</v>
      </c>
      <c r="G2" s="983">
        <v>2019</v>
      </c>
      <c r="H2" s="792"/>
      <c r="I2" s="973">
        <v>2020</v>
      </c>
    </row>
    <row r="3" spans="1:9" ht="14.5" thickBot="1">
      <c r="C3" s="447" t="s">
        <v>216</v>
      </c>
      <c r="D3" s="784" t="s">
        <v>217</v>
      </c>
      <c r="E3" s="784" t="s">
        <v>270</v>
      </c>
      <c r="F3" s="963" t="s">
        <v>308</v>
      </c>
      <c r="G3" s="984" t="s">
        <v>315</v>
      </c>
      <c r="H3" s="1048" t="s">
        <v>198</v>
      </c>
      <c r="I3" s="974" t="s">
        <v>325</v>
      </c>
    </row>
    <row r="4" spans="1:9" ht="14">
      <c r="A4" s="407"/>
      <c r="B4" s="484" t="s">
        <v>300</v>
      </c>
      <c r="C4" s="795">
        <v>0</v>
      </c>
      <c r="D4" s="785">
        <v>0</v>
      </c>
      <c r="E4" s="873"/>
      <c r="F4" s="964">
        <v>0</v>
      </c>
      <c r="G4" s="1049">
        <v>0</v>
      </c>
      <c r="H4" s="1052">
        <f>AVERAGE(C4:G4)</f>
        <v>0</v>
      </c>
      <c r="I4" s="1053">
        <v>0</v>
      </c>
    </row>
    <row r="5" spans="1:9" ht="14">
      <c r="A5" s="408"/>
      <c r="B5" s="491" t="s">
        <v>301</v>
      </c>
      <c r="C5" s="796">
        <v>0</v>
      </c>
      <c r="D5" s="786">
        <v>9</v>
      </c>
      <c r="E5" s="874">
        <v>0</v>
      </c>
      <c r="F5" s="965">
        <v>0</v>
      </c>
      <c r="G5" s="1050">
        <v>0</v>
      </c>
      <c r="H5" s="1054">
        <f t="shared" ref="H5:H57" si="0">AVERAGE(C5:G5)</f>
        <v>1.8</v>
      </c>
      <c r="I5" s="1055">
        <v>3</v>
      </c>
    </row>
    <row r="6" spans="1:9" ht="14">
      <c r="A6" s="408" t="s">
        <v>191</v>
      </c>
      <c r="B6" s="491" t="s">
        <v>302</v>
      </c>
      <c r="C6" s="796">
        <v>0</v>
      </c>
      <c r="D6" s="786">
        <v>1</v>
      </c>
      <c r="E6" s="874">
        <v>0</v>
      </c>
      <c r="F6" s="965">
        <v>0</v>
      </c>
      <c r="G6" s="1050">
        <v>0.1</v>
      </c>
      <c r="H6" s="1054">
        <f t="shared" si="0"/>
        <v>0.22000000000000003</v>
      </c>
      <c r="I6" s="1055">
        <v>1</v>
      </c>
    </row>
    <row r="7" spans="1:9" ht="14">
      <c r="A7" s="408"/>
      <c r="B7" s="491" t="s">
        <v>303</v>
      </c>
      <c r="C7" s="796">
        <v>1</v>
      </c>
      <c r="D7" s="786">
        <v>4</v>
      </c>
      <c r="E7" s="874">
        <v>0</v>
      </c>
      <c r="F7" s="965">
        <v>0</v>
      </c>
      <c r="G7" s="1050">
        <v>0.7</v>
      </c>
      <c r="H7" s="1054">
        <f t="shared" si="0"/>
        <v>1.1400000000000001</v>
      </c>
      <c r="I7" s="1055">
        <v>2.14</v>
      </c>
    </row>
    <row r="8" spans="1:9" ht="14">
      <c r="A8" s="408"/>
      <c r="B8" s="491" t="s">
        <v>304</v>
      </c>
      <c r="C8" s="796">
        <v>0</v>
      </c>
      <c r="D8" s="786">
        <v>6.25</v>
      </c>
      <c r="E8" s="874">
        <v>0</v>
      </c>
      <c r="F8" s="965">
        <v>0</v>
      </c>
      <c r="G8" s="1050">
        <v>0.14000000000000001</v>
      </c>
      <c r="H8" s="1054">
        <f t="shared" si="0"/>
        <v>1.278</v>
      </c>
      <c r="I8" s="1056">
        <v>0.86</v>
      </c>
    </row>
    <row r="9" spans="1:9" ht="14.5" thickBot="1">
      <c r="A9" s="472"/>
      <c r="B9" s="509" t="s">
        <v>305</v>
      </c>
      <c r="C9" s="797">
        <v>1</v>
      </c>
      <c r="D9" s="787">
        <v>8.1</v>
      </c>
      <c r="E9" s="875">
        <v>1</v>
      </c>
      <c r="F9" s="966">
        <v>0.6</v>
      </c>
      <c r="G9" s="1051">
        <v>2</v>
      </c>
      <c r="H9" s="1054">
        <f t="shared" si="0"/>
        <v>2.54</v>
      </c>
      <c r="I9" s="1056">
        <v>6</v>
      </c>
    </row>
    <row r="10" spans="1:9" ht="14">
      <c r="A10" s="434"/>
      <c r="B10" s="484" t="s">
        <v>300</v>
      </c>
      <c r="C10" s="486">
        <v>2.5</v>
      </c>
      <c r="D10" s="519">
        <v>37</v>
      </c>
      <c r="E10" s="876">
        <v>3</v>
      </c>
      <c r="F10" s="967">
        <v>11.3</v>
      </c>
      <c r="G10" s="967">
        <v>10.6</v>
      </c>
      <c r="H10" s="1054">
        <f t="shared" si="0"/>
        <v>12.879999999999999</v>
      </c>
      <c r="I10" s="1057">
        <v>8</v>
      </c>
    </row>
    <row r="11" spans="1:9" ht="14">
      <c r="A11" s="490"/>
      <c r="B11" s="491" t="s">
        <v>301</v>
      </c>
      <c r="C11" s="493">
        <v>1.5</v>
      </c>
      <c r="D11" s="493">
        <v>93.3</v>
      </c>
      <c r="E11" s="877">
        <v>8</v>
      </c>
      <c r="F11" s="968">
        <v>8</v>
      </c>
      <c r="G11" s="968">
        <v>7.4</v>
      </c>
      <c r="H11" s="1054">
        <f t="shared" si="0"/>
        <v>23.64</v>
      </c>
      <c r="I11" s="1057">
        <v>17.86</v>
      </c>
    </row>
    <row r="12" spans="1:9" ht="14">
      <c r="A12" s="490" t="s">
        <v>196</v>
      </c>
      <c r="B12" s="491" t="s">
        <v>302</v>
      </c>
      <c r="C12" s="493">
        <v>8</v>
      </c>
      <c r="D12" s="493">
        <v>191.8</v>
      </c>
      <c r="E12" s="877">
        <v>62.7</v>
      </c>
      <c r="F12" s="968">
        <v>56</v>
      </c>
      <c r="G12" s="968">
        <v>14</v>
      </c>
      <c r="H12" s="1054">
        <f t="shared" si="0"/>
        <v>66.5</v>
      </c>
      <c r="I12" s="1057">
        <v>44.14</v>
      </c>
    </row>
    <row r="13" spans="1:9" ht="14">
      <c r="A13" s="490"/>
      <c r="B13" s="491" t="s">
        <v>303</v>
      </c>
      <c r="C13" s="501">
        <v>58</v>
      </c>
      <c r="D13" s="493">
        <v>396.8</v>
      </c>
      <c r="E13" s="877">
        <v>204.3</v>
      </c>
      <c r="F13" s="968">
        <v>287.5</v>
      </c>
      <c r="G13" s="968">
        <v>191.7</v>
      </c>
      <c r="H13" s="1054">
        <f t="shared" si="0"/>
        <v>227.66</v>
      </c>
      <c r="I13" s="1057">
        <v>82</v>
      </c>
    </row>
    <row r="14" spans="1:9" ht="14">
      <c r="A14" s="490"/>
      <c r="B14" s="491" t="s">
        <v>304</v>
      </c>
      <c r="C14" s="493">
        <v>385.714</v>
      </c>
      <c r="D14" s="493">
        <v>410.5</v>
      </c>
      <c r="E14" s="877">
        <v>365</v>
      </c>
      <c r="F14" s="968">
        <v>593</v>
      </c>
      <c r="G14" s="968">
        <v>404.3</v>
      </c>
      <c r="H14" s="1054">
        <f t="shared" si="0"/>
        <v>431.70280000000002</v>
      </c>
      <c r="I14" s="1057">
        <v>165.83</v>
      </c>
    </row>
    <row r="15" spans="1:9" ht="14.5" thickBot="1">
      <c r="A15" s="508"/>
      <c r="B15" s="509" t="s">
        <v>305</v>
      </c>
      <c r="C15" s="511">
        <v>745.29</v>
      </c>
      <c r="D15" s="511">
        <v>100</v>
      </c>
      <c r="E15" s="878">
        <v>635</v>
      </c>
      <c r="F15" s="969">
        <v>306</v>
      </c>
      <c r="G15" s="969">
        <v>163</v>
      </c>
      <c r="H15" s="1054">
        <f t="shared" si="0"/>
        <v>389.858</v>
      </c>
      <c r="I15" s="1057">
        <v>110.17</v>
      </c>
    </row>
    <row r="16" spans="1:9" ht="14">
      <c r="A16" s="434"/>
      <c r="B16" s="484" t="s">
        <v>300</v>
      </c>
      <c r="C16" s="519">
        <v>379</v>
      </c>
      <c r="D16" s="519">
        <v>56</v>
      </c>
      <c r="E16" s="876">
        <v>619</v>
      </c>
      <c r="F16" s="967">
        <v>261</v>
      </c>
      <c r="G16" s="967">
        <v>349</v>
      </c>
      <c r="H16" s="1054">
        <f t="shared" si="0"/>
        <v>332.8</v>
      </c>
      <c r="I16" s="1057">
        <v>98</v>
      </c>
    </row>
    <row r="17" spans="1:9" ht="14">
      <c r="A17" s="490"/>
      <c r="B17" s="491" t="s">
        <v>301</v>
      </c>
      <c r="C17" s="493">
        <v>37</v>
      </c>
      <c r="D17" s="493">
        <v>12</v>
      </c>
      <c r="E17" s="877">
        <v>677</v>
      </c>
      <c r="F17" s="968">
        <v>58</v>
      </c>
      <c r="G17" s="968">
        <v>285</v>
      </c>
      <c r="H17" s="1054">
        <f t="shared" si="0"/>
        <v>213.8</v>
      </c>
      <c r="I17" s="1057">
        <v>39</v>
      </c>
    </row>
    <row r="18" spans="1:9" ht="14">
      <c r="A18" s="490" t="s">
        <v>197</v>
      </c>
      <c r="B18" s="491" t="s">
        <v>302</v>
      </c>
      <c r="C18" s="493">
        <v>63</v>
      </c>
      <c r="D18" s="493">
        <v>1</v>
      </c>
      <c r="E18" s="877">
        <v>242</v>
      </c>
      <c r="F18" s="968">
        <v>133</v>
      </c>
      <c r="G18" s="968">
        <v>132</v>
      </c>
      <c r="H18" s="1054">
        <f t="shared" si="0"/>
        <v>114.2</v>
      </c>
      <c r="I18" s="1057">
        <v>15</v>
      </c>
    </row>
    <row r="19" spans="1:9" ht="14">
      <c r="A19" s="490"/>
      <c r="B19" s="491" t="s">
        <v>303</v>
      </c>
      <c r="C19" s="493">
        <v>19</v>
      </c>
      <c r="D19" s="493">
        <v>0</v>
      </c>
      <c r="E19" s="877">
        <v>108.3</v>
      </c>
      <c r="F19" s="968">
        <v>5</v>
      </c>
      <c r="G19" s="968">
        <v>16</v>
      </c>
      <c r="H19" s="1054">
        <f t="shared" si="0"/>
        <v>29.660000000000004</v>
      </c>
      <c r="I19" s="1057">
        <v>10</v>
      </c>
    </row>
    <row r="20" spans="1:9" ht="14">
      <c r="A20" s="490"/>
      <c r="B20" s="491" t="s">
        <v>304</v>
      </c>
      <c r="C20" s="493">
        <v>1.67</v>
      </c>
      <c r="D20" s="493">
        <v>0</v>
      </c>
      <c r="E20" s="877">
        <v>22</v>
      </c>
      <c r="F20" s="968">
        <v>1</v>
      </c>
      <c r="G20" s="968">
        <v>1.7</v>
      </c>
      <c r="H20" s="1054">
        <f t="shared" si="0"/>
        <v>5.274</v>
      </c>
      <c r="I20" s="1057">
        <v>0</v>
      </c>
    </row>
    <row r="21" spans="1:9" ht="14.5" thickBot="1">
      <c r="A21" s="508"/>
      <c r="B21" s="509" t="s">
        <v>305</v>
      </c>
      <c r="C21" s="725">
        <v>1.67</v>
      </c>
      <c r="D21" s="788">
        <v>0</v>
      </c>
      <c r="E21" s="879">
        <v>1.7</v>
      </c>
      <c r="F21" s="970">
        <v>0</v>
      </c>
      <c r="G21" s="970">
        <v>0.3</v>
      </c>
      <c r="H21" s="1054">
        <f t="shared" si="0"/>
        <v>0.73399999999999999</v>
      </c>
      <c r="I21" s="1058">
        <v>1</v>
      </c>
    </row>
    <row r="22" spans="1:9" ht="14">
      <c r="A22" s="490"/>
      <c r="B22" s="484" t="s">
        <v>300</v>
      </c>
      <c r="C22" s="486">
        <v>2.2999999999999998</v>
      </c>
      <c r="D22" s="519">
        <v>4</v>
      </c>
      <c r="E22" s="876">
        <v>0</v>
      </c>
      <c r="F22" s="967">
        <v>0</v>
      </c>
      <c r="G22" s="967">
        <v>1</v>
      </c>
      <c r="H22" s="1054">
        <f t="shared" si="0"/>
        <v>1.46</v>
      </c>
      <c r="I22" s="1057">
        <v>7.86</v>
      </c>
    </row>
    <row r="23" spans="1:9" ht="14">
      <c r="A23" s="490"/>
      <c r="B23" s="491" t="s">
        <v>301</v>
      </c>
      <c r="C23" s="493">
        <v>1.7</v>
      </c>
      <c r="D23" s="493">
        <v>70.7</v>
      </c>
      <c r="E23" s="877">
        <v>19.2</v>
      </c>
      <c r="F23" s="968">
        <v>13</v>
      </c>
      <c r="G23" s="968">
        <v>8</v>
      </c>
      <c r="H23" s="1054">
        <f t="shared" si="0"/>
        <v>22.520000000000003</v>
      </c>
      <c r="I23" s="1057">
        <v>55.14</v>
      </c>
    </row>
    <row r="24" spans="1:9" ht="14">
      <c r="A24" s="490" t="s">
        <v>199</v>
      </c>
      <c r="B24" s="491" t="s">
        <v>302</v>
      </c>
      <c r="C24" s="493">
        <v>22.3</v>
      </c>
      <c r="D24" s="493">
        <v>157.30000000000001</v>
      </c>
      <c r="E24" s="877">
        <v>188.1</v>
      </c>
      <c r="F24" s="968">
        <v>59.1</v>
      </c>
      <c r="G24" s="968">
        <v>160</v>
      </c>
      <c r="H24" s="1054">
        <f t="shared" si="0"/>
        <v>117.36000000000001</v>
      </c>
      <c r="I24" s="1057">
        <v>179</v>
      </c>
    </row>
    <row r="25" spans="1:9" ht="14">
      <c r="A25" s="490"/>
      <c r="B25" s="491" t="s">
        <v>303</v>
      </c>
      <c r="C25" s="493">
        <v>37</v>
      </c>
      <c r="D25" s="493">
        <v>202.8</v>
      </c>
      <c r="E25" s="877">
        <v>530.79999999999995</v>
      </c>
      <c r="F25" s="968">
        <v>85.7</v>
      </c>
      <c r="G25" s="968">
        <v>307</v>
      </c>
      <c r="H25" s="1054">
        <f t="shared" si="0"/>
        <v>232.66</v>
      </c>
      <c r="I25" s="1057">
        <v>223.33</v>
      </c>
    </row>
    <row r="26" spans="1:9" ht="14">
      <c r="A26" s="490"/>
      <c r="B26" s="491" t="s">
        <v>304</v>
      </c>
      <c r="C26" s="493">
        <v>67</v>
      </c>
      <c r="D26" s="493">
        <v>163.30000000000001</v>
      </c>
      <c r="E26" s="877">
        <v>900.5</v>
      </c>
      <c r="F26" s="968">
        <v>161.1</v>
      </c>
      <c r="G26" s="968">
        <v>321</v>
      </c>
      <c r="H26" s="1054">
        <f t="shared" si="0"/>
        <v>322.58</v>
      </c>
      <c r="I26" s="1057">
        <v>126.67</v>
      </c>
    </row>
    <row r="27" spans="1:9" ht="14.5" thickBot="1">
      <c r="A27" s="490"/>
      <c r="B27" s="509" t="s">
        <v>305</v>
      </c>
      <c r="C27" s="511">
        <v>48</v>
      </c>
      <c r="D27" s="501">
        <v>15</v>
      </c>
      <c r="E27" s="880">
        <v>668.5</v>
      </c>
      <c r="F27" s="971">
        <v>145</v>
      </c>
      <c r="G27" s="971">
        <v>170</v>
      </c>
      <c r="H27" s="1054">
        <f t="shared" si="0"/>
        <v>209.3</v>
      </c>
      <c r="I27" s="1057">
        <v>49</v>
      </c>
    </row>
    <row r="28" spans="1:9" ht="14">
      <c r="A28" s="434"/>
      <c r="B28" s="484" t="s">
        <v>300</v>
      </c>
      <c r="C28" s="519">
        <v>3</v>
      </c>
      <c r="D28" s="486">
        <v>0</v>
      </c>
      <c r="E28" s="881">
        <v>50</v>
      </c>
      <c r="F28" s="972">
        <v>38</v>
      </c>
      <c r="G28" s="972">
        <v>94.29</v>
      </c>
      <c r="H28" s="1054">
        <f t="shared" si="0"/>
        <v>37.058000000000007</v>
      </c>
      <c r="I28" s="1057">
        <v>23</v>
      </c>
    </row>
    <row r="29" spans="1:9" ht="14">
      <c r="A29" s="490"/>
      <c r="B29" s="491" t="s">
        <v>301</v>
      </c>
      <c r="C29" s="493">
        <v>1</v>
      </c>
      <c r="D29" s="493">
        <v>0</v>
      </c>
      <c r="E29" s="877">
        <v>20</v>
      </c>
      <c r="F29" s="968">
        <v>0</v>
      </c>
      <c r="G29" s="968">
        <v>39.71</v>
      </c>
      <c r="H29" s="1054">
        <f t="shared" si="0"/>
        <v>12.141999999999999</v>
      </c>
      <c r="I29" s="1057">
        <v>0.71</v>
      </c>
    </row>
    <row r="30" spans="1:9" ht="14">
      <c r="A30" s="490" t="s">
        <v>200</v>
      </c>
      <c r="B30" s="491" t="s">
        <v>302</v>
      </c>
      <c r="C30" s="493">
        <v>2</v>
      </c>
      <c r="D30" s="493">
        <v>4.5</v>
      </c>
      <c r="E30" s="877">
        <v>5</v>
      </c>
      <c r="F30" s="968">
        <v>0.84</v>
      </c>
      <c r="G30" s="968">
        <v>2</v>
      </c>
      <c r="H30" s="1054">
        <f t="shared" si="0"/>
        <v>2.8679999999999999</v>
      </c>
      <c r="I30" s="1057">
        <v>0.28999999999999998</v>
      </c>
    </row>
    <row r="31" spans="1:9" ht="14">
      <c r="A31" s="490"/>
      <c r="B31" s="491" t="s">
        <v>303</v>
      </c>
      <c r="C31" s="493">
        <v>0</v>
      </c>
      <c r="D31" s="493">
        <v>12.5</v>
      </c>
      <c r="E31" s="877">
        <v>5</v>
      </c>
      <c r="F31" s="968">
        <v>3.2</v>
      </c>
      <c r="G31" s="968">
        <v>4.17</v>
      </c>
      <c r="H31" s="1054">
        <f t="shared" si="0"/>
        <v>4.9739999999999993</v>
      </c>
      <c r="I31" s="1057">
        <v>14</v>
      </c>
    </row>
    <row r="32" spans="1:9" ht="14">
      <c r="A32" s="490"/>
      <c r="B32" s="491" t="s">
        <v>304</v>
      </c>
      <c r="C32" s="493">
        <v>5.7</v>
      </c>
      <c r="D32" s="493">
        <v>319</v>
      </c>
      <c r="E32" s="877">
        <v>3</v>
      </c>
      <c r="F32" s="968">
        <v>5</v>
      </c>
      <c r="G32" s="968">
        <v>30.83</v>
      </c>
      <c r="H32" s="1054">
        <f t="shared" si="0"/>
        <v>72.705999999999989</v>
      </c>
      <c r="I32" s="1057">
        <v>65.83</v>
      </c>
    </row>
    <row r="33" spans="1:9" ht="14.5" thickBot="1">
      <c r="A33" s="508"/>
      <c r="B33" s="509" t="s">
        <v>305</v>
      </c>
      <c r="C33" s="501">
        <v>22.54</v>
      </c>
      <c r="D33" s="501">
        <v>152</v>
      </c>
      <c r="E33" s="880">
        <v>16.2</v>
      </c>
      <c r="F33" s="971">
        <v>25</v>
      </c>
      <c r="G33" s="971">
        <v>37</v>
      </c>
      <c r="H33" s="1054">
        <f t="shared" si="0"/>
        <v>50.547999999999995</v>
      </c>
      <c r="I33" s="1057">
        <v>35.17</v>
      </c>
    </row>
    <row r="34" spans="1:9" ht="14">
      <c r="A34" s="490"/>
      <c r="B34" s="484" t="s">
        <v>300</v>
      </c>
      <c r="C34" s="486">
        <v>9.4</v>
      </c>
      <c r="D34" s="486">
        <v>30</v>
      </c>
      <c r="E34" s="881">
        <v>28.5</v>
      </c>
      <c r="F34" s="972">
        <v>40</v>
      </c>
      <c r="G34" s="972">
        <v>15</v>
      </c>
      <c r="H34" s="1054">
        <f t="shared" si="0"/>
        <v>24.580000000000002</v>
      </c>
      <c r="I34" s="1057"/>
    </row>
    <row r="35" spans="1:9" ht="14">
      <c r="A35" s="490"/>
      <c r="B35" s="491" t="s">
        <v>301</v>
      </c>
      <c r="C35" s="493">
        <v>8.6</v>
      </c>
      <c r="D35" s="493">
        <v>0.3</v>
      </c>
      <c r="E35" s="877">
        <v>31.3</v>
      </c>
      <c r="F35" s="968">
        <v>20.8</v>
      </c>
      <c r="G35" s="968">
        <v>2.14</v>
      </c>
      <c r="H35" s="1054">
        <f t="shared" si="0"/>
        <v>12.628</v>
      </c>
      <c r="I35" s="1057"/>
    </row>
    <row r="36" spans="1:9" ht="14">
      <c r="A36" s="490" t="s">
        <v>201</v>
      </c>
      <c r="B36" s="491" t="s">
        <v>302</v>
      </c>
      <c r="C36" s="493">
        <v>0.7</v>
      </c>
      <c r="D36" s="493">
        <v>1.7</v>
      </c>
      <c r="E36" s="877">
        <v>0</v>
      </c>
      <c r="F36" s="968">
        <v>4</v>
      </c>
      <c r="G36" s="968">
        <v>0.86</v>
      </c>
      <c r="H36" s="1054">
        <f t="shared" si="0"/>
        <v>1.4520000000000002</v>
      </c>
      <c r="I36" s="1057"/>
    </row>
    <row r="37" spans="1:9" ht="14">
      <c r="A37" s="490"/>
      <c r="B37" s="491" t="s">
        <v>303</v>
      </c>
      <c r="C37" s="493">
        <v>2.5</v>
      </c>
      <c r="D37" s="493">
        <v>2.5</v>
      </c>
      <c r="E37" s="877">
        <v>0</v>
      </c>
      <c r="F37" s="968">
        <v>0</v>
      </c>
      <c r="G37" s="968">
        <v>1</v>
      </c>
      <c r="H37" s="1054">
        <f t="shared" si="0"/>
        <v>1.2</v>
      </c>
      <c r="I37" s="1057"/>
    </row>
    <row r="38" spans="1:9" ht="14">
      <c r="A38" s="490"/>
      <c r="B38" s="491" t="s">
        <v>304</v>
      </c>
      <c r="C38" s="493">
        <v>3.95</v>
      </c>
      <c r="D38" s="493">
        <v>9.5</v>
      </c>
      <c r="E38" s="877">
        <v>1</v>
      </c>
      <c r="F38" s="968">
        <v>0</v>
      </c>
      <c r="G38" s="968">
        <v>1.67</v>
      </c>
      <c r="H38" s="1054">
        <f t="shared" si="0"/>
        <v>3.2239999999999993</v>
      </c>
      <c r="I38" s="1057"/>
    </row>
    <row r="39" spans="1:9" ht="14.5" thickBot="1">
      <c r="A39" s="490"/>
      <c r="B39" s="509" t="s">
        <v>305</v>
      </c>
      <c r="C39" s="511">
        <v>4.2</v>
      </c>
      <c r="D39" s="511">
        <v>40</v>
      </c>
      <c r="E39" s="878">
        <v>9</v>
      </c>
      <c r="F39" s="969">
        <v>6.6</v>
      </c>
      <c r="G39" s="969">
        <v>17</v>
      </c>
      <c r="H39" s="1054">
        <f t="shared" si="0"/>
        <v>15.360000000000003</v>
      </c>
      <c r="I39" s="1057"/>
    </row>
    <row r="40" spans="1:9" ht="14">
      <c r="A40" s="434"/>
      <c r="B40" s="484" t="s">
        <v>300</v>
      </c>
      <c r="C40" s="519">
        <v>25</v>
      </c>
      <c r="D40" s="519">
        <v>92</v>
      </c>
      <c r="E40" s="876">
        <v>12.2</v>
      </c>
      <c r="F40" s="967">
        <v>3</v>
      </c>
      <c r="G40" s="967">
        <v>9.33</v>
      </c>
      <c r="H40" s="1054">
        <f t="shared" si="0"/>
        <v>28.306000000000001</v>
      </c>
      <c r="I40" s="1057"/>
    </row>
    <row r="41" spans="1:9" ht="14">
      <c r="A41" s="490"/>
      <c r="B41" s="491" t="s">
        <v>301</v>
      </c>
      <c r="C41" s="493">
        <v>27</v>
      </c>
      <c r="D41" s="493">
        <v>78.599999999999994</v>
      </c>
      <c r="E41" s="877">
        <v>20.8</v>
      </c>
      <c r="F41" s="968">
        <v>7</v>
      </c>
      <c r="G41" s="968">
        <v>59</v>
      </c>
      <c r="H41" s="1054">
        <f t="shared" si="0"/>
        <v>38.479999999999997</v>
      </c>
      <c r="I41" s="1057"/>
    </row>
    <row r="42" spans="1:9" ht="14">
      <c r="A42" s="490" t="s">
        <v>202</v>
      </c>
      <c r="B42" s="491" t="s">
        <v>302</v>
      </c>
      <c r="C42" s="493">
        <v>91.4</v>
      </c>
      <c r="D42" s="493">
        <v>82.4</v>
      </c>
      <c r="E42" s="877">
        <v>89.8</v>
      </c>
      <c r="F42" s="968">
        <v>23</v>
      </c>
      <c r="G42" s="968">
        <v>46.67</v>
      </c>
      <c r="H42" s="1054">
        <f t="shared" si="0"/>
        <v>66.654000000000011</v>
      </c>
      <c r="I42" s="1057"/>
    </row>
    <row r="43" spans="1:9" ht="14">
      <c r="A43" s="490"/>
      <c r="B43" s="491" t="s">
        <v>303</v>
      </c>
      <c r="C43" s="493">
        <v>97.3</v>
      </c>
      <c r="D43" s="493">
        <v>60</v>
      </c>
      <c r="E43" s="877">
        <v>79.2</v>
      </c>
      <c r="F43" s="968">
        <v>110</v>
      </c>
      <c r="G43" s="968">
        <v>43.62</v>
      </c>
      <c r="H43" s="1054">
        <f t="shared" si="0"/>
        <v>78.024000000000001</v>
      </c>
      <c r="I43" s="1057"/>
    </row>
    <row r="44" spans="1:9" ht="14">
      <c r="A44" s="490"/>
      <c r="B44" s="491" t="s">
        <v>304</v>
      </c>
      <c r="C44" s="493">
        <v>48.25</v>
      </c>
      <c r="D44" s="493">
        <v>58</v>
      </c>
      <c r="E44" s="877">
        <v>46</v>
      </c>
      <c r="F44" s="968">
        <v>96</v>
      </c>
      <c r="G44" s="968">
        <v>38.71</v>
      </c>
      <c r="H44" s="1054">
        <f t="shared" si="0"/>
        <v>57.391999999999996</v>
      </c>
      <c r="I44" s="1057"/>
    </row>
    <row r="45" spans="1:9" ht="14.5" thickBot="1">
      <c r="A45" s="508"/>
      <c r="B45" s="509" t="s">
        <v>305</v>
      </c>
      <c r="C45" s="501">
        <v>36</v>
      </c>
      <c r="D45" s="501">
        <v>4.3</v>
      </c>
      <c r="E45" s="880">
        <v>15</v>
      </c>
      <c r="F45" s="971">
        <v>155</v>
      </c>
      <c r="G45" s="971">
        <v>8</v>
      </c>
      <c r="H45" s="1054">
        <f t="shared" si="0"/>
        <v>43.660000000000004</v>
      </c>
      <c r="I45" s="1057"/>
    </row>
    <row r="46" spans="1:9" ht="14">
      <c r="A46" s="490"/>
      <c r="B46" s="484" t="s">
        <v>300</v>
      </c>
      <c r="C46" s="486">
        <v>11</v>
      </c>
      <c r="D46" s="486">
        <v>30.5</v>
      </c>
      <c r="E46" s="881">
        <v>20</v>
      </c>
      <c r="F46" s="972">
        <v>211.8</v>
      </c>
      <c r="G46" s="972">
        <v>5</v>
      </c>
      <c r="H46" s="1054">
        <f t="shared" si="0"/>
        <v>55.660000000000004</v>
      </c>
      <c r="I46" s="1057"/>
    </row>
    <row r="47" spans="1:9" ht="14">
      <c r="A47" s="490"/>
      <c r="B47" s="491" t="s">
        <v>301</v>
      </c>
      <c r="C47" s="493">
        <v>34.5</v>
      </c>
      <c r="D47" s="493">
        <v>48.1</v>
      </c>
      <c r="E47" s="877">
        <v>10.8</v>
      </c>
      <c r="F47" s="968">
        <v>109.5</v>
      </c>
      <c r="G47" s="968">
        <v>4</v>
      </c>
      <c r="H47" s="1054">
        <f t="shared" si="0"/>
        <v>41.379999999999995</v>
      </c>
      <c r="I47" s="1057"/>
    </row>
    <row r="48" spans="1:9" ht="14">
      <c r="A48" s="490" t="s">
        <v>203</v>
      </c>
      <c r="B48" s="491" t="s">
        <v>302</v>
      </c>
      <c r="C48" s="493">
        <v>59.5</v>
      </c>
      <c r="D48" s="493">
        <v>279.3</v>
      </c>
      <c r="E48" s="877">
        <v>9.1999999999999993</v>
      </c>
      <c r="F48" s="968">
        <v>53</v>
      </c>
      <c r="G48" s="968">
        <v>30</v>
      </c>
      <c r="H48" s="1054">
        <f t="shared" si="0"/>
        <v>86.2</v>
      </c>
      <c r="I48" s="1057"/>
    </row>
    <row r="49" spans="1:9" ht="14">
      <c r="A49" s="490"/>
      <c r="B49" s="491" t="s">
        <v>303</v>
      </c>
      <c r="C49" s="493">
        <v>37</v>
      </c>
      <c r="D49" s="493">
        <v>290.7</v>
      </c>
      <c r="E49" s="877">
        <v>1.4</v>
      </c>
      <c r="F49" s="968">
        <v>27.5</v>
      </c>
      <c r="G49" s="968">
        <v>69</v>
      </c>
      <c r="H49" s="1054">
        <f t="shared" si="0"/>
        <v>85.11999999999999</v>
      </c>
      <c r="I49" s="1057"/>
    </row>
    <row r="50" spans="1:9" ht="14">
      <c r="A50" s="490"/>
      <c r="B50" s="491" t="s">
        <v>304</v>
      </c>
      <c r="C50" s="493">
        <v>11.7</v>
      </c>
      <c r="D50" s="493">
        <v>141</v>
      </c>
      <c r="E50" s="877">
        <v>6.6</v>
      </c>
      <c r="F50" s="968">
        <v>16.5</v>
      </c>
      <c r="G50" s="968">
        <v>14</v>
      </c>
      <c r="H50" s="1054">
        <f t="shared" si="0"/>
        <v>37.959999999999994</v>
      </c>
      <c r="I50" s="1057"/>
    </row>
    <row r="51" spans="1:9" ht="14.5" thickBot="1">
      <c r="A51" s="490"/>
      <c r="B51" s="509" t="s">
        <v>305</v>
      </c>
      <c r="C51" s="511">
        <v>23.4</v>
      </c>
      <c r="D51" s="511">
        <v>210</v>
      </c>
      <c r="E51" s="878">
        <v>7</v>
      </c>
      <c r="F51" s="969">
        <v>15</v>
      </c>
      <c r="G51" s="969">
        <v>9.17</v>
      </c>
      <c r="H51" s="1054">
        <f t="shared" si="0"/>
        <v>52.914000000000001</v>
      </c>
      <c r="I51" s="1057"/>
    </row>
    <row r="52" spans="1:9" ht="14">
      <c r="A52" s="434"/>
      <c r="B52" s="484" t="s">
        <v>300</v>
      </c>
      <c r="C52" s="485">
        <v>13.3</v>
      </c>
      <c r="D52" s="486">
        <v>117.5</v>
      </c>
      <c r="E52" s="881">
        <v>4</v>
      </c>
      <c r="F52" s="972">
        <v>16</v>
      </c>
      <c r="G52" s="972">
        <v>2.5</v>
      </c>
      <c r="H52" s="1054">
        <f t="shared" si="0"/>
        <v>30.660000000000004</v>
      </c>
      <c r="I52" s="1057"/>
    </row>
    <row r="53" spans="1:9" ht="14">
      <c r="A53" s="490"/>
      <c r="B53" s="491" t="s">
        <v>301</v>
      </c>
      <c r="C53" s="492">
        <v>10</v>
      </c>
      <c r="D53" s="493">
        <v>170.5</v>
      </c>
      <c r="E53" s="877">
        <v>5</v>
      </c>
      <c r="F53" s="968">
        <v>2.5</v>
      </c>
      <c r="G53" s="968">
        <v>7.5</v>
      </c>
      <c r="H53" s="1054">
        <f t="shared" si="0"/>
        <v>39.1</v>
      </c>
      <c r="I53" s="1057"/>
    </row>
    <row r="54" spans="1:9" ht="14">
      <c r="A54" s="490" t="s">
        <v>204</v>
      </c>
      <c r="B54" s="491" t="s">
        <v>302</v>
      </c>
      <c r="C54" s="492">
        <v>10</v>
      </c>
      <c r="D54" s="493">
        <v>315</v>
      </c>
      <c r="E54" s="877">
        <v>0</v>
      </c>
      <c r="F54" s="968">
        <v>2.5</v>
      </c>
      <c r="G54" s="968">
        <v>30.63</v>
      </c>
      <c r="H54" s="1054">
        <f t="shared" si="0"/>
        <v>71.626000000000005</v>
      </c>
      <c r="I54" s="1057"/>
    </row>
    <row r="55" spans="1:9" ht="14">
      <c r="A55" s="490"/>
      <c r="B55" s="491" t="s">
        <v>303</v>
      </c>
      <c r="C55" s="492">
        <v>9</v>
      </c>
      <c r="D55" s="493">
        <v>176</v>
      </c>
      <c r="E55" s="877">
        <v>0</v>
      </c>
      <c r="F55" s="968">
        <v>2</v>
      </c>
      <c r="G55" s="968">
        <v>18.37</v>
      </c>
      <c r="H55" s="1054">
        <f t="shared" si="0"/>
        <v>41.073999999999998</v>
      </c>
      <c r="I55" s="1057"/>
    </row>
    <row r="56" spans="1:9" ht="14">
      <c r="A56" s="490"/>
      <c r="B56" s="491" t="s">
        <v>304</v>
      </c>
      <c r="C56" s="492">
        <v>9.1999999999999993</v>
      </c>
      <c r="D56" s="493">
        <v>45.6</v>
      </c>
      <c r="E56" s="877">
        <v>0</v>
      </c>
      <c r="F56" s="968">
        <v>1.7</v>
      </c>
      <c r="G56" s="968">
        <v>14</v>
      </c>
      <c r="H56" s="1054">
        <f t="shared" si="0"/>
        <v>14.1</v>
      </c>
      <c r="I56" s="1057"/>
    </row>
    <row r="57" spans="1:9" ht="14.5" thickBot="1">
      <c r="A57" s="508"/>
      <c r="B57" s="509" t="s">
        <v>305</v>
      </c>
      <c r="C57" s="510">
        <v>3.4</v>
      </c>
      <c r="D57" s="511">
        <v>30.4</v>
      </c>
      <c r="E57" s="878">
        <v>0</v>
      </c>
      <c r="F57" s="969">
        <v>0</v>
      </c>
      <c r="G57" s="969">
        <v>0</v>
      </c>
      <c r="H57" s="1059">
        <f t="shared" si="0"/>
        <v>6.76</v>
      </c>
      <c r="I57" s="1060"/>
    </row>
    <row r="58" spans="1:9" ht="18">
      <c r="E58" s="1061" t="s">
        <v>338</v>
      </c>
    </row>
  </sheetData>
  <phoneticPr fontId="2"/>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1">
    <tabColor rgb="FF00B050"/>
  </sheetPr>
  <dimension ref="A1:BB88"/>
  <sheetViews>
    <sheetView zoomScale="70" zoomScaleNormal="70" workbookViewId="0">
      <selection activeCell="C3" sqref="C3"/>
    </sheetView>
  </sheetViews>
  <sheetFormatPr defaultColWidth="9" defaultRowHeight="14"/>
  <cols>
    <col min="1" max="1" width="2.6328125" style="412" customWidth="1"/>
    <col min="2" max="3" width="5.6328125" style="412" customWidth="1"/>
    <col min="4" max="5" width="10.453125" style="412" customWidth="1"/>
    <col min="6" max="6" width="7.6328125" style="412" customWidth="1"/>
    <col min="7" max="7" width="2.6328125" style="412" customWidth="1"/>
    <col min="8" max="8" width="7.6328125" style="412" customWidth="1"/>
    <col min="9" max="9" width="5.7265625" style="412" hidden="1" customWidth="1"/>
    <col min="10" max="12" width="6.6328125" style="412" customWidth="1"/>
    <col min="13" max="32" width="7.1796875" style="412" hidden="1" customWidth="1"/>
    <col min="33" max="33" width="7.1796875" style="750" hidden="1" customWidth="1"/>
    <col min="34" max="41" width="7.1796875" style="412" hidden="1" customWidth="1"/>
    <col min="42" max="44" width="7.1796875" style="412" customWidth="1"/>
    <col min="45" max="45" width="7" style="412" customWidth="1"/>
    <col min="46" max="47" width="7.6328125" style="412" customWidth="1"/>
    <col min="48" max="48" width="7.6328125" style="1248" customWidth="1"/>
    <col min="49" max="49" width="9.453125" style="412" bestFit="1" customWidth="1"/>
    <col min="50" max="52" width="9.453125" style="1248" customWidth="1"/>
    <col min="53" max="53" width="6.36328125" style="412" bestFit="1" customWidth="1"/>
    <col min="54" max="54" width="6.08984375" style="412" bestFit="1" customWidth="1"/>
    <col min="55" max="16384" width="9" style="412"/>
  </cols>
  <sheetData>
    <row r="1" spans="1:54" ht="6" customHeight="1">
      <c r="A1" s="403"/>
      <c r="B1" s="403"/>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742"/>
      <c r="AH1" s="403"/>
      <c r="AI1" s="403"/>
      <c r="AJ1" s="403"/>
    </row>
    <row r="2" spans="1:54" ht="24" customHeight="1">
      <c r="A2" s="403"/>
      <c r="B2" s="1890" t="s">
        <v>223</v>
      </c>
      <c r="C2" s="1890"/>
      <c r="D2" s="1890"/>
      <c r="E2" s="1890"/>
      <c r="F2" s="1890"/>
      <c r="G2" s="1890"/>
      <c r="H2" s="1890"/>
      <c r="I2" s="1889">
        <v>2026</v>
      </c>
      <c r="J2" s="1889"/>
      <c r="K2" s="1889"/>
      <c r="L2" s="590"/>
      <c r="M2" s="590"/>
      <c r="N2" s="403"/>
      <c r="O2" s="403"/>
      <c r="P2" s="403"/>
      <c r="Q2" s="403"/>
      <c r="R2" s="403"/>
      <c r="S2" s="403"/>
      <c r="T2" s="403"/>
      <c r="U2" s="403"/>
      <c r="V2" s="403"/>
      <c r="W2" s="403"/>
      <c r="X2" s="403"/>
      <c r="Y2" s="403"/>
      <c r="Z2" s="403"/>
      <c r="AA2" s="403"/>
      <c r="AB2" s="403"/>
      <c r="AC2" s="403"/>
      <c r="AD2" s="403"/>
      <c r="AE2" s="403"/>
      <c r="AF2" s="403"/>
      <c r="AG2" s="742"/>
      <c r="AM2" s="1248"/>
      <c r="AN2" s="1248"/>
      <c r="AO2" s="1248"/>
      <c r="AP2" s="1248"/>
      <c r="AQ2" s="1248"/>
      <c r="AR2" s="1248"/>
      <c r="AS2" s="1248"/>
      <c r="AT2" s="1248"/>
      <c r="AU2" s="1248"/>
      <c r="AW2" s="912"/>
      <c r="AX2" s="912"/>
      <c r="AY2" s="912"/>
      <c r="AZ2" s="912"/>
    </row>
    <row r="3" spans="1:54" ht="29.25" customHeight="1" thickBot="1">
      <c r="A3" s="403"/>
      <c r="B3" s="403"/>
      <c r="C3" s="403"/>
      <c r="D3" s="403"/>
      <c r="E3" s="403"/>
      <c r="F3" s="1893"/>
      <c r="G3" s="1893"/>
      <c r="H3" s="1893"/>
      <c r="I3" s="403"/>
      <c r="J3" s="403"/>
      <c r="K3" s="403"/>
      <c r="L3" s="403"/>
      <c r="M3" s="403"/>
      <c r="N3" s="403"/>
      <c r="O3" s="403"/>
      <c r="P3" s="403"/>
      <c r="Q3" s="403"/>
      <c r="R3" s="403"/>
      <c r="S3" s="403"/>
      <c r="T3" s="403"/>
      <c r="U3" s="403"/>
      <c r="V3" s="403"/>
      <c r="W3" s="403"/>
      <c r="X3" s="403"/>
      <c r="Y3" s="403"/>
      <c r="Z3" s="403"/>
      <c r="AA3" s="403"/>
      <c r="AB3" s="403"/>
      <c r="AC3" s="403"/>
      <c r="AD3" s="403"/>
      <c r="AE3" s="403"/>
      <c r="AF3" s="403"/>
      <c r="AG3" s="742"/>
      <c r="AH3" s="403"/>
      <c r="AI3" s="403"/>
      <c r="AJ3" s="403"/>
      <c r="AM3" s="1047"/>
      <c r="AN3" s="1047"/>
      <c r="AO3" s="1047"/>
      <c r="AP3" s="1047"/>
      <c r="AQ3" s="1047"/>
      <c r="AR3" s="1047"/>
      <c r="AS3" s="1047"/>
      <c r="AT3" s="1047"/>
      <c r="AU3" s="1047"/>
      <c r="AV3" s="1047"/>
      <c r="AW3" s="1047"/>
      <c r="AX3" s="1047"/>
      <c r="AY3" s="1047"/>
      <c r="AZ3" s="1047"/>
    </row>
    <row r="4" spans="1:54" ht="30.75" customHeight="1" thickBot="1">
      <c r="A4" s="403"/>
      <c r="B4" s="404"/>
      <c r="C4" s="591"/>
      <c r="D4" s="421" t="s">
        <v>153</v>
      </c>
      <c r="E4" s="804" t="s">
        <v>154</v>
      </c>
      <c r="F4" s="1885" t="s">
        <v>155</v>
      </c>
      <c r="G4" s="1885"/>
      <c r="H4" s="1886"/>
      <c r="I4" s="592"/>
      <c r="J4" s="403"/>
      <c r="K4" s="403"/>
      <c r="L4" s="403"/>
      <c r="M4" s="403"/>
      <c r="N4" s="403"/>
      <c r="O4" s="403"/>
      <c r="P4" s="403"/>
      <c r="Q4" s="403"/>
      <c r="R4" s="403"/>
      <c r="S4" s="403"/>
      <c r="T4" s="403"/>
      <c r="U4" s="403"/>
      <c r="V4" s="403"/>
      <c r="W4" s="403"/>
      <c r="X4" s="403"/>
      <c r="Y4" s="403"/>
      <c r="Z4" s="403"/>
      <c r="AA4" s="403"/>
      <c r="AB4" s="403"/>
      <c r="AC4" s="403"/>
      <c r="AD4" s="403"/>
      <c r="AE4" s="403"/>
      <c r="AF4" s="403"/>
      <c r="AG4" s="743"/>
      <c r="AH4" s="566"/>
      <c r="AI4" s="566"/>
      <c r="AJ4" s="566"/>
      <c r="AK4" s="566"/>
      <c r="AL4" s="566"/>
      <c r="AM4" s="566"/>
      <c r="AN4" s="566"/>
      <c r="AO4" s="566"/>
      <c r="AP4" s="566"/>
      <c r="AQ4" s="566"/>
      <c r="AR4" s="566"/>
      <c r="AS4" s="913" t="s">
        <v>316</v>
      </c>
      <c r="AU4" s="412" t="s">
        <v>341</v>
      </c>
      <c r="AZ4" s="1248" t="s">
        <v>545</v>
      </c>
    </row>
    <row r="5" spans="1:54" ht="13.5" customHeight="1">
      <c r="A5" s="403"/>
      <c r="B5" s="405"/>
      <c r="C5" s="593"/>
      <c r="D5" s="427">
        <v>2026</v>
      </c>
      <c r="E5" s="1891" t="s">
        <v>156</v>
      </c>
      <c r="F5" s="775">
        <f>D5-5</f>
        <v>2021</v>
      </c>
      <c r="G5" s="431" t="s">
        <v>224</v>
      </c>
      <c r="H5" s="432">
        <f>D5-1</f>
        <v>2025</v>
      </c>
      <c r="I5" s="433">
        <f>$H$5-$F$5+1</f>
        <v>5</v>
      </c>
      <c r="J5" s="403"/>
      <c r="K5" s="434"/>
      <c r="L5" s="595"/>
      <c r="M5" s="596">
        <v>1987</v>
      </c>
      <c r="N5" s="437">
        <v>1988</v>
      </c>
      <c r="O5" s="437">
        <v>1989</v>
      </c>
      <c r="P5" s="437">
        <v>1990</v>
      </c>
      <c r="Q5" s="437">
        <v>1991</v>
      </c>
      <c r="R5" s="437">
        <v>1992</v>
      </c>
      <c r="S5" s="437">
        <v>1993</v>
      </c>
      <c r="T5" s="437">
        <v>1994</v>
      </c>
      <c r="U5" s="437">
        <v>1995</v>
      </c>
      <c r="V5" s="437">
        <v>1996</v>
      </c>
      <c r="W5" s="437">
        <v>1997</v>
      </c>
      <c r="X5" s="437">
        <v>1998</v>
      </c>
      <c r="Y5" s="437">
        <v>1999</v>
      </c>
      <c r="Z5" s="437">
        <v>2000</v>
      </c>
      <c r="AA5" s="437">
        <v>2001</v>
      </c>
      <c r="AB5" s="437">
        <v>2002</v>
      </c>
      <c r="AC5" s="437">
        <v>2003</v>
      </c>
      <c r="AD5" s="437">
        <v>2004</v>
      </c>
      <c r="AE5" s="437">
        <v>2005</v>
      </c>
      <c r="AF5" s="437">
        <v>2006</v>
      </c>
      <c r="AG5" s="437">
        <v>2007</v>
      </c>
      <c r="AH5" s="856">
        <v>2008</v>
      </c>
      <c r="AI5" s="856">
        <v>2009</v>
      </c>
      <c r="AJ5" s="1075">
        <v>2010</v>
      </c>
      <c r="AK5" s="1255">
        <v>2011</v>
      </c>
      <c r="AL5" s="1075">
        <v>2012</v>
      </c>
      <c r="AM5" s="438">
        <v>2013</v>
      </c>
      <c r="AN5" s="439">
        <v>2014</v>
      </c>
      <c r="AO5" s="439">
        <v>2015</v>
      </c>
      <c r="AP5" s="439">
        <v>2016</v>
      </c>
      <c r="AQ5" s="439">
        <v>2017</v>
      </c>
      <c r="AR5" s="439">
        <v>2018</v>
      </c>
      <c r="AS5" s="438">
        <v>2019</v>
      </c>
      <c r="AT5" s="857">
        <v>2020</v>
      </c>
      <c r="AU5" s="857">
        <v>2021</v>
      </c>
      <c r="AV5" s="1326">
        <v>2022</v>
      </c>
      <c r="AW5" s="857">
        <v>2023</v>
      </c>
      <c r="AX5" s="1663">
        <v>2024</v>
      </c>
      <c r="AY5" s="1663">
        <v>2025</v>
      </c>
      <c r="AZ5" s="1709">
        <v>2026</v>
      </c>
      <c r="BA5" s="434"/>
      <c r="BB5" s="595"/>
    </row>
    <row r="6" spans="1:54" ht="13.5" customHeight="1" thickBot="1">
      <c r="A6" s="403"/>
      <c r="B6" s="406"/>
      <c r="C6" s="597"/>
      <c r="D6" s="441" t="str">
        <f t="shared" ref="D6:D42" ca="1" si="0">IF(ISBLANK($D$5),-20,OFFSET($M6,0,$D$5-1987,1,1))</f>
        <v>R8</v>
      </c>
      <c r="E6" s="1892"/>
      <c r="F6" s="1887">
        <f>IF(OR(ISBLANK($F$5),ISBLANK($H$5)),"　ヶ年平均",$H$5-$F$5+1)</f>
        <v>5</v>
      </c>
      <c r="G6" s="1887"/>
      <c r="H6" s="1888"/>
      <c r="I6" s="597"/>
      <c r="J6" s="413"/>
      <c r="K6" s="406"/>
      <c r="L6" s="597"/>
      <c r="M6" s="598" t="s">
        <v>158</v>
      </c>
      <c r="N6" s="447" t="s">
        <v>159</v>
      </c>
      <c r="O6" s="447" t="s">
        <v>160</v>
      </c>
      <c r="P6" s="447" t="s">
        <v>161</v>
      </c>
      <c r="Q6" s="447" t="s">
        <v>162</v>
      </c>
      <c r="R6" s="447" t="s">
        <v>163</v>
      </c>
      <c r="S6" s="447" t="s">
        <v>164</v>
      </c>
      <c r="T6" s="447" t="s">
        <v>165</v>
      </c>
      <c r="U6" s="447" t="s">
        <v>166</v>
      </c>
      <c r="V6" s="447" t="s">
        <v>167</v>
      </c>
      <c r="W6" s="447" t="s">
        <v>168</v>
      </c>
      <c r="X6" s="447" t="s">
        <v>169</v>
      </c>
      <c r="Y6" s="447" t="s">
        <v>170</v>
      </c>
      <c r="Z6" s="447" t="s">
        <v>171</v>
      </c>
      <c r="AA6" s="447" t="s">
        <v>172</v>
      </c>
      <c r="AB6" s="447" t="s">
        <v>173</v>
      </c>
      <c r="AC6" s="447" t="s">
        <v>174</v>
      </c>
      <c r="AD6" s="447" t="s">
        <v>175</v>
      </c>
      <c r="AE6" s="447" t="s">
        <v>176</v>
      </c>
      <c r="AF6" s="447" t="s">
        <v>177</v>
      </c>
      <c r="AG6" s="744" t="s">
        <v>178</v>
      </c>
      <c r="AH6" s="447" t="s">
        <v>179</v>
      </c>
      <c r="AI6" s="447" t="s">
        <v>180</v>
      </c>
      <c r="AJ6" s="448" t="s">
        <v>181</v>
      </c>
      <c r="AK6" s="447" t="s">
        <v>182</v>
      </c>
      <c r="AL6" s="448" t="s">
        <v>183</v>
      </c>
      <c r="AM6" s="447" t="s">
        <v>184</v>
      </c>
      <c r="AN6" s="448" t="s">
        <v>185</v>
      </c>
      <c r="AO6" s="448" t="s">
        <v>186</v>
      </c>
      <c r="AP6" s="755" t="s">
        <v>187</v>
      </c>
      <c r="AQ6" s="744" t="s">
        <v>272</v>
      </c>
      <c r="AR6" s="916" t="s">
        <v>273</v>
      </c>
      <c r="AS6" s="863" t="s">
        <v>314</v>
      </c>
      <c r="AT6" s="1064" t="s">
        <v>325</v>
      </c>
      <c r="AU6" s="1064" t="s">
        <v>407</v>
      </c>
      <c r="AV6" s="1366" t="s">
        <v>330</v>
      </c>
      <c r="AW6" s="1366" t="s">
        <v>476</v>
      </c>
      <c r="AX6" s="1667" t="s">
        <v>332</v>
      </c>
      <c r="AY6" s="1667" t="s">
        <v>537</v>
      </c>
      <c r="AZ6" s="1710" t="s">
        <v>543</v>
      </c>
      <c r="BA6" s="406"/>
      <c r="BB6" s="597"/>
    </row>
    <row r="7" spans="1:54" ht="13.5" customHeight="1">
      <c r="A7" s="403"/>
      <c r="B7" s="407"/>
      <c r="C7" s="484" t="s">
        <v>225</v>
      </c>
      <c r="D7" s="543">
        <f t="shared" ca="1" si="0"/>
        <v>0</v>
      </c>
      <c r="E7" s="779">
        <f ca="1">AVERAGE(OFFSET(M7,0,$I$2-1988,1,-10))</f>
        <v>2.5</v>
      </c>
      <c r="F7" s="453"/>
      <c r="G7" s="453"/>
      <c r="H7" s="454">
        <f ca="1">IF(OR(ISBLANK($F$5),ISBLANK($H$5)),-20,AVERAGE(OFFSET($M7,0,$F$5-1987,1,$H$5-$F$5+1)))</f>
        <v>1.4</v>
      </c>
      <c r="I7" s="599"/>
      <c r="J7" s="600"/>
      <c r="K7" s="434"/>
      <c r="L7" s="515" t="s">
        <v>225</v>
      </c>
      <c r="M7" s="601">
        <v>0</v>
      </c>
      <c r="N7" s="601">
        <v>0</v>
      </c>
      <c r="O7" s="601">
        <v>34</v>
      </c>
      <c r="P7" s="601">
        <v>1</v>
      </c>
      <c r="Q7" s="601">
        <v>0</v>
      </c>
      <c r="R7" s="601">
        <v>0</v>
      </c>
      <c r="S7" s="601">
        <v>1</v>
      </c>
      <c r="T7" s="601">
        <v>8</v>
      </c>
      <c r="U7" s="601">
        <v>4</v>
      </c>
      <c r="V7" s="601">
        <v>6</v>
      </c>
      <c r="W7" s="601">
        <v>6</v>
      </c>
      <c r="X7" s="601">
        <v>14</v>
      </c>
      <c r="Y7" s="601">
        <v>0</v>
      </c>
      <c r="Z7" s="602">
        <v>6</v>
      </c>
      <c r="AA7" s="603">
        <v>0</v>
      </c>
      <c r="AB7" s="603">
        <v>2.7</v>
      </c>
      <c r="AC7" s="603">
        <v>1</v>
      </c>
      <c r="AD7" s="603">
        <v>1</v>
      </c>
      <c r="AE7" s="603">
        <v>0</v>
      </c>
      <c r="AF7" s="603">
        <v>1</v>
      </c>
      <c r="AG7" s="745">
        <v>2</v>
      </c>
      <c r="AH7" s="603">
        <v>0</v>
      </c>
      <c r="AI7" s="603">
        <v>0</v>
      </c>
      <c r="AJ7" s="604">
        <v>8</v>
      </c>
      <c r="AK7" s="603">
        <v>0</v>
      </c>
      <c r="AL7" s="605">
        <v>3</v>
      </c>
      <c r="AM7" s="606">
        <v>0</v>
      </c>
      <c r="AN7" s="605">
        <v>0</v>
      </c>
      <c r="AO7" s="605">
        <v>2</v>
      </c>
      <c r="AP7" s="625">
        <v>0</v>
      </c>
      <c r="AQ7" s="626">
        <v>2</v>
      </c>
      <c r="AR7" s="917">
        <v>13</v>
      </c>
      <c r="AS7" s="923">
        <v>2</v>
      </c>
      <c r="AT7" s="1070">
        <v>1</v>
      </c>
      <c r="AU7" s="1367">
        <v>0</v>
      </c>
      <c r="AV7" s="1367">
        <v>3</v>
      </c>
      <c r="AW7" s="1367">
        <v>3</v>
      </c>
      <c r="AX7" s="1367">
        <v>0</v>
      </c>
      <c r="AY7" s="1367">
        <v>1</v>
      </c>
      <c r="AZ7" s="635">
        <f>ハダニ野帳!$D$5</f>
        <v>0</v>
      </c>
      <c r="BA7" s="434"/>
      <c r="BB7" s="515" t="s">
        <v>225</v>
      </c>
    </row>
    <row r="8" spans="1:54" ht="13.5" customHeight="1">
      <c r="A8" s="403"/>
      <c r="B8" s="408" t="s">
        <v>226</v>
      </c>
      <c r="C8" s="491" t="s">
        <v>227</v>
      </c>
      <c r="D8" s="543">
        <f t="shared" ca="1" si="0"/>
        <v>0</v>
      </c>
      <c r="E8" s="779">
        <f ca="1">AVERAGE(OFFSET(M8,0,$I$2-1988,1,-10))</f>
        <v>2.9</v>
      </c>
      <c r="F8" s="464"/>
      <c r="G8" s="464"/>
      <c r="H8" s="465">
        <f t="shared" ref="H8:H42" ca="1" si="1">IF(OR(ISBLANK($F$5),ISBLANK($H$5)),-20,AVERAGE(OFFSET($M8,0,$F$5-1987,1,$H$5-$F$5+1)))</f>
        <v>1.4</v>
      </c>
      <c r="I8" s="607"/>
      <c r="J8" s="600"/>
      <c r="K8" s="490" t="s">
        <v>306</v>
      </c>
      <c r="L8" s="491" t="s">
        <v>227</v>
      </c>
      <c r="M8" s="608">
        <v>0</v>
      </c>
      <c r="N8" s="608">
        <v>0</v>
      </c>
      <c r="O8" s="608">
        <v>37</v>
      </c>
      <c r="P8" s="608">
        <v>3</v>
      </c>
      <c r="Q8" s="608">
        <v>0</v>
      </c>
      <c r="R8" s="608">
        <v>0</v>
      </c>
      <c r="S8" s="608">
        <v>2</v>
      </c>
      <c r="T8" s="608">
        <v>8</v>
      </c>
      <c r="U8" s="608">
        <v>3.9</v>
      </c>
      <c r="V8" s="608">
        <v>2</v>
      </c>
      <c r="W8" s="608">
        <v>8</v>
      </c>
      <c r="X8" s="608">
        <v>10</v>
      </c>
      <c r="Y8" s="608">
        <v>0</v>
      </c>
      <c r="Z8" s="609">
        <v>8</v>
      </c>
      <c r="AA8" s="562">
        <v>0</v>
      </c>
      <c r="AB8" s="562">
        <v>2</v>
      </c>
      <c r="AC8" s="562">
        <v>0</v>
      </c>
      <c r="AD8" s="562">
        <v>0</v>
      </c>
      <c r="AE8" s="562">
        <v>0</v>
      </c>
      <c r="AF8" s="562">
        <v>0</v>
      </c>
      <c r="AG8" s="746">
        <v>3</v>
      </c>
      <c r="AH8" s="562">
        <v>0</v>
      </c>
      <c r="AI8" s="562">
        <v>0</v>
      </c>
      <c r="AJ8" s="561">
        <v>4</v>
      </c>
      <c r="AK8" s="562">
        <v>2</v>
      </c>
      <c r="AL8" s="610">
        <v>5</v>
      </c>
      <c r="AM8" s="611">
        <v>0</v>
      </c>
      <c r="AN8" s="610">
        <v>0</v>
      </c>
      <c r="AO8" s="610">
        <v>2</v>
      </c>
      <c r="AP8" s="610">
        <v>1</v>
      </c>
      <c r="AQ8" s="611">
        <v>0</v>
      </c>
      <c r="AR8" s="918">
        <v>18</v>
      </c>
      <c r="AS8" s="924">
        <v>2</v>
      </c>
      <c r="AT8" s="1071">
        <v>1</v>
      </c>
      <c r="AU8" s="1368">
        <v>0</v>
      </c>
      <c r="AV8" s="1368">
        <v>4</v>
      </c>
      <c r="AW8" s="1368">
        <v>3</v>
      </c>
      <c r="AX8" s="1368">
        <v>0</v>
      </c>
      <c r="AY8" s="1368">
        <v>0</v>
      </c>
      <c r="AZ8" s="636">
        <f>ハダニ野帳!$Z$5</f>
        <v>0</v>
      </c>
      <c r="BA8" s="490" t="s">
        <v>242</v>
      </c>
      <c r="BB8" s="491" t="s">
        <v>227</v>
      </c>
    </row>
    <row r="9" spans="1:54" ht="13.5" customHeight="1" thickBot="1">
      <c r="A9" s="403"/>
      <c r="B9" s="409"/>
      <c r="C9" s="612" t="s">
        <v>228</v>
      </c>
      <c r="D9" s="613">
        <f t="shared" ca="1" si="0"/>
        <v>0</v>
      </c>
      <c r="E9" s="1607">
        <f t="shared" ref="E9:E42" ca="1" si="2">AVERAGE(OFFSET(M9,0,$I$2-1988,1,-10))</f>
        <v>3.1</v>
      </c>
      <c r="F9" s="475"/>
      <c r="G9" s="475"/>
      <c r="H9" s="476">
        <f t="shared" ca="1" si="1"/>
        <v>2.4</v>
      </c>
      <c r="I9" s="615"/>
      <c r="J9" s="600"/>
      <c r="K9" s="405"/>
      <c r="L9" s="491" t="s">
        <v>228</v>
      </c>
      <c r="M9" s="616">
        <v>0</v>
      </c>
      <c r="N9" s="616">
        <v>0</v>
      </c>
      <c r="O9" s="616">
        <v>43</v>
      </c>
      <c r="P9" s="616">
        <v>3</v>
      </c>
      <c r="Q9" s="616">
        <v>0</v>
      </c>
      <c r="R9" s="616">
        <v>0</v>
      </c>
      <c r="S9" s="616">
        <v>2</v>
      </c>
      <c r="T9" s="616">
        <v>7</v>
      </c>
      <c r="U9" s="616">
        <v>3.8</v>
      </c>
      <c r="V9" s="616">
        <v>2</v>
      </c>
      <c r="W9" s="616">
        <v>10</v>
      </c>
      <c r="X9" s="616">
        <v>4</v>
      </c>
      <c r="Y9" s="616">
        <v>0</v>
      </c>
      <c r="Z9" s="617">
        <v>10</v>
      </c>
      <c r="AA9" s="618">
        <v>0</v>
      </c>
      <c r="AB9" s="618">
        <v>1</v>
      </c>
      <c r="AC9" s="618">
        <v>1</v>
      </c>
      <c r="AD9" s="618">
        <v>0</v>
      </c>
      <c r="AE9" s="618">
        <v>1</v>
      </c>
      <c r="AF9" s="618">
        <v>0</v>
      </c>
      <c r="AG9" s="747">
        <v>3</v>
      </c>
      <c r="AH9" s="618">
        <v>1</v>
      </c>
      <c r="AI9" s="618">
        <v>0</v>
      </c>
      <c r="AJ9" s="619">
        <v>5</v>
      </c>
      <c r="AK9" s="618">
        <v>0</v>
      </c>
      <c r="AL9" s="620">
        <v>7</v>
      </c>
      <c r="AM9" s="621">
        <v>1</v>
      </c>
      <c r="AN9" s="620">
        <v>0</v>
      </c>
      <c r="AO9" s="620">
        <v>0</v>
      </c>
      <c r="AP9" s="630">
        <v>0</v>
      </c>
      <c r="AQ9" s="631">
        <v>1</v>
      </c>
      <c r="AR9" s="919">
        <v>12</v>
      </c>
      <c r="AS9" s="925">
        <v>3</v>
      </c>
      <c r="AT9" s="1072">
        <v>3</v>
      </c>
      <c r="AU9" s="1369">
        <v>1</v>
      </c>
      <c r="AV9" s="1369">
        <v>8</v>
      </c>
      <c r="AW9" s="1369">
        <v>3</v>
      </c>
      <c r="AX9" s="1369">
        <v>0</v>
      </c>
      <c r="AY9" s="1369">
        <v>0</v>
      </c>
      <c r="AZ9" s="637">
        <f>ハダニ野帳!$AV$5</f>
        <v>0</v>
      </c>
      <c r="BA9" s="405"/>
      <c r="BB9" s="491" t="s">
        <v>228</v>
      </c>
    </row>
    <row r="10" spans="1:54" ht="13.5" customHeight="1">
      <c r="A10" s="403"/>
      <c r="B10" s="407"/>
      <c r="C10" s="484" t="s">
        <v>225</v>
      </c>
      <c r="D10" s="622">
        <f t="shared" ca="1" si="0"/>
        <v>0</v>
      </c>
      <c r="E10" s="1606">
        <f t="shared" ca="1" si="2"/>
        <v>3.4</v>
      </c>
      <c r="F10" s="453"/>
      <c r="G10" s="453"/>
      <c r="H10" s="454">
        <f t="shared" ca="1" si="1"/>
        <v>3.8</v>
      </c>
      <c r="I10" s="607"/>
      <c r="J10" s="600"/>
      <c r="K10" s="434"/>
      <c r="L10" s="484" t="s">
        <v>225</v>
      </c>
      <c r="M10" s="623">
        <v>0</v>
      </c>
      <c r="N10" s="623">
        <v>0</v>
      </c>
      <c r="O10" s="623">
        <v>49</v>
      </c>
      <c r="P10" s="623">
        <v>7</v>
      </c>
      <c r="Q10" s="623">
        <v>0</v>
      </c>
      <c r="R10" s="623">
        <v>0</v>
      </c>
      <c r="S10" s="623">
        <v>4</v>
      </c>
      <c r="T10" s="623">
        <v>8</v>
      </c>
      <c r="U10" s="623">
        <v>4.7</v>
      </c>
      <c r="V10" s="623">
        <v>2</v>
      </c>
      <c r="W10" s="623">
        <v>8</v>
      </c>
      <c r="X10" s="623">
        <v>10</v>
      </c>
      <c r="Y10" s="623">
        <v>0</v>
      </c>
      <c r="Z10" s="624">
        <v>8</v>
      </c>
      <c r="AA10" s="559">
        <v>0</v>
      </c>
      <c r="AB10" s="559">
        <v>2</v>
      </c>
      <c r="AC10" s="559">
        <v>0</v>
      </c>
      <c r="AD10" s="559">
        <v>0</v>
      </c>
      <c r="AE10" s="559">
        <v>1</v>
      </c>
      <c r="AF10" s="559">
        <v>0</v>
      </c>
      <c r="AG10" s="748">
        <v>2</v>
      </c>
      <c r="AH10" s="559">
        <v>0</v>
      </c>
      <c r="AI10" s="559">
        <v>0</v>
      </c>
      <c r="AJ10" s="558">
        <v>1.96</v>
      </c>
      <c r="AK10" s="559">
        <v>1</v>
      </c>
      <c r="AL10" s="625">
        <v>4</v>
      </c>
      <c r="AM10" s="626">
        <v>0</v>
      </c>
      <c r="AN10" s="625">
        <v>1</v>
      </c>
      <c r="AO10" s="625">
        <v>3</v>
      </c>
      <c r="AP10" s="605">
        <v>0</v>
      </c>
      <c r="AQ10" s="606">
        <v>0</v>
      </c>
      <c r="AR10" s="920">
        <v>12</v>
      </c>
      <c r="AS10" s="926">
        <v>3</v>
      </c>
      <c r="AT10" s="1073">
        <v>0</v>
      </c>
      <c r="AU10" s="1370">
        <v>0</v>
      </c>
      <c r="AV10" s="1370">
        <v>16</v>
      </c>
      <c r="AW10" s="1370">
        <v>3</v>
      </c>
      <c r="AX10" s="1370">
        <v>0</v>
      </c>
      <c r="AY10" s="1370">
        <v>0</v>
      </c>
      <c r="AZ10" s="914">
        <f>ハダニ野帳!$D$34</f>
        <v>0</v>
      </c>
      <c r="BA10" s="434"/>
      <c r="BB10" s="484" t="s">
        <v>225</v>
      </c>
    </row>
    <row r="11" spans="1:54" ht="13.5" customHeight="1">
      <c r="A11" s="403"/>
      <c r="B11" s="408" t="s">
        <v>229</v>
      </c>
      <c r="C11" s="491" t="s">
        <v>227</v>
      </c>
      <c r="D11" s="543">
        <f t="shared" ca="1" si="0"/>
        <v>1</v>
      </c>
      <c r="E11" s="779">
        <f t="shared" ca="1" si="2"/>
        <v>3.7</v>
      </c>
      <c r="F11" s="464"/>
      <c r="G11" s="464"/>
      <c r="H11" s="465">
        <f t="shared" ca="1" si="1"/>
        <v>2</v>
      </c>
      <c r="I11" s="607"/>
      <c r="J11" s="600"/>
      <c r="K11" s="490" t="s">
        <v>307</v>
      </c>
      <c r="L11" s="491" t="s">
        <v>227</v>
      </c>
      <c r="M11" s="608">
        <v>0</v>
      </c>
      <c r="N11" s="608">
        <v>0</v>
      </c>
      <c r="O11" s="608">
        <v>51</v>
      </c>
      <c r="P11" s="608">
        <v>8</v>
      </c>
      <c r="Q11" s="608">
        <v>0</v>
      </c>
      <c r="R11" s="608">
        <v>0</v>
      </c>
      <c r="S11" s="608">
        <v>5</v>
      </c>
      <c r="T11" s="608">
        <v>8</v>
      </c>
      <c r="U11" s="608">
        <v>4.3</v>
      </c>
      <c r="V11" s="608">
        <v>2</v>
      </c>
      <c r="W11" s="608">
        <v>10</v>
      </c>
      <c r="X11" s="608">
        <v>12</v>
      </c>
      <c r="Y11" s="608">
        <v>2</v>
      </c>
      <c r="Z11" s="609">
        <v>8</v>
      </c>
      <c r="AA11" s="562">
        <v>0</v>
      </c>
      <c r="AB11" s="562">
        <v>1</v>
      </c>
      <c r="AC11" s="562">
        <v>1</v>
      </c>
      <c r="AD11" s="562">
        <v>1</v>
      </c>
      <c r="AE11" s="562">
        <v>0</v>
      </c>
      <c r="AF11" s="562">
        <v>1</v>
      </c>
      <c r="AG11" s="746">
        <v>4</v>
      </c>
      <c r="AH11" s="562">
        <v>0</v>
      </c>
      <c r="AI11" s="562">
        <v>0</v>
      </c>
      <c r="AJ11" s="561">
        <v>1.96</v>
      </c>
      <c r="AK11" s="562">
        <v>2</v>
      </c>
      <c r="AL11" s="610">
        <v>7</v>
      </c>
      <c r="AM11" s="611">
        <v>1</v>
      </c>
      <c r="AN11" s="610">
        <v>0</v>
      </c>
      <c r="AO11" s="610">
        <v>3</v>
      </c>
      <c r="AP11" s="610">
        <v>0</v>
      </c>
      <c r="AQ11" s="611">
        <v>2</v>
      </c>
      <c r="AR11" s="918">
        <v>21</v>
      </c>
      <c r="AS11" s="924">
        <v>3</v>
      </c>
      <c r="AT11" s="1071">
        <v>1</v>
      </c>
      <c r="AU11" s="1368">
        <v>1</v>
      </c>
      <c r="AV11" s="1368">
        <v>5</v>
      </c>
      <c r="AW11" s="1368">
        <v>4</v>
      </c>
      <c r="AX11" s="1368">
        <v>0</v>
      </c>
      <c r="AY11" s="1368">
        <v>0</v>
      </c>
      <c r="AZ11" s="636">
        <f>ハダニ野帳!$Z$34</f>
        <v>1</v>
      </c>
      <c r="BA11" s="490" t="s">
        <v>307</v>
      </c>
      <c r="BB11" s="491" t="s">
        <v>227</v>
      </c>
    </row>
    <row r="12" spans="1:54" ht="13.5" customHeight="1" thickBot="1">
      <c r="A12" s="403"/>
      <c r="B12" s="409"/>
      <c r="C12" s="491" t="s">
        <v>228</v>
      </c>
      <c r="D12" s="627">
        <f t="shared" ca="1" si="0"/>
        <v>1</v>
      </c>
      <c r="E12" s="1609">
        <f t="shared" ca="1" si="2"/>
        <v>5.0999999999999996</v>
      </c>
      <c r="F12" s="475"/>
      <c r="G12" s="475"/>
      <c r="H12" s="476">
        <f t="shared" ca="1" si="1"/>
        <v>5.2</v>
      </c>
      <c r="I12" s="615"/>
      <c r="J12" s="600"/>
      <c r="K12" s="508"/>
      <c r="L12" s="491" t="s">
        <v>228</v>
      </c>
      <c r="M12" s="628">
        <v>0</v>
      </c>
      <c r="N12" s="628">
        <v>0</v>
      </c>
      <c r="O12" s="628">
        <v>52</v>
      </c>
      <c r="P12" s="628">
        <v>8</v>
      </c>
      <c r="Q12" s="628">
        <v>0</v>
      </c>
      <c r="R12" s="628">
        <v>0</v>
      </c>
      <c r="S12" s="628">
        <v>5</v>
      </c>
      <c r="T12" s="628">
        <v>9</v>
      </c>
      <c r="U12" s="628">
        <v>3.9</v>
      </c>
      <c r="V12" s="628">
        <v>3</v>
      </c>
      <c r="W12" s="628">
        <v>14</v>
      </c>
      <c r="X12" s="628">
        <v>14</v>
      </c>
      <c r="Y12" s="628">
        <v>0</v>
      </c>
      <c r="Z12" s="629">
        <v>10</v>
      </c>
      <c r="AA12" s="565">
        <v>2</v>
      </c>
      <c r="AB12" s="565">
        <v>3</v>
      </c>
      <c r="AC12" s="565">
        <v>2</v>
      </c>
      <c r="AD12" s="565">
        <v>2</v>
      </c>
      <c r="AE12" s="565">
        <v>0</v>
      </c>
      <c r="AF12" s="565">
        <v>0</v>
      </c>
      <c r="AG12" s="749">
        <v>6</v>
      </c>
      <c r="AH12" s="565">
        <v>1</v>
      </c>
      <c r="AI12" s="565">
        <v>0</v>
      </c>
      <c r="AJ12" s="564">
        <v>5</v>
      </c>
      <c r="AK12" s="565">
        <v>1</v>
      </c>
      <c r="AL12" s="630">
        <v>3</v>
      </c>
      <c r="AM12" s="631">
        <v>0</v>
      </c>
      <c r="AN12" s="630">
        <v>0</v>
      </c>
      <c r="AO12" s="630">
        <v>2</v>
      </c>
      <c r="AP12" s="630">
        <v>3</v>
      </c>
      <c r="AQ12" s="631">
        <v>1</v>
      </c>
      <c r="AR12" s="919">
        <v>15</v>
      </c>
      <c r="AS12" s="925">
        <v>1</v>
      </c>
      <c r="AT12" s="1072">
        <v>5</v>
      </c>
      <c r="AU12" s="1369">
        <v>3</v>
      </c>
      <c r="AV12" s="1369">
        <v>7</v>
      </c>
      <c r="AW12" s="1369">
        <v>12</v>
      </c>
      <c r="AX12" s="1369">
        <v>2</v>
      </c>
      <c r="AY12" s="1369">
        <v>2</v>
      </c>
      <c r="AZ12" s="637">
        <f>ハダニ野帳!$AV$34</f>
        <v>1</v>
      </c>
      <c r="BA12" s="508"/>
      <c r="BB12" s="491" t="s">
        <v>228</v>
      </c>
    </row>
    <row r="13" spans="1:54" ht="13.5" customHeight="1">
      <c r="A13" s="403"/>
      <c r="B13" s="407"/>
      <c r="C13" s="484" t="s">
        <v>225</v>
      </c>
      <c r="D13" s="543">
        <f t="shared" ca="1" si="0"/>
        <v>0</v>
      </c>
      <c r="E13" s="779">
        <f t="shared" ca="1" si="2"/>
        <v>5.8</v>
      </c>
      <c r="F13" s="453"/>
      <c r="G13" s="453"/>
      <c r="H13" s="454">
        <f t="shared" ca="1" si="1"/>
        <v>4.8</v>
      </c>
      <c r="I13" s="607"/>
      <c r="J13" s="600"/>
      <c r="K13" s="434"/>
      <c r="L13" s="484" t="s">
        <v>225</v>
      </c>
      <c r="M13" s="601">
        <v>0</v>
      </c>
      <c r="N13" s="601">
        <v>0</v>
      </c>
      <c r="O13" s="601">
        <v>64</v>
      </c>
      <c r="P13" s="601">
        <v>7</v>
      </c>
      <c r="Q13" s="601">
        <v>0</v>
      </c>
      <c r="R13" s="601">
        <v>0</v>
      </c>
      <c r="S13" s="601">
        <v>5</v>
      </c>
      <c r="T13" s="601">
        <v>14</v>
      </c>
      <c r="U13" s="601">
        <v>6</v>
      </c>
      <c r="V13" s="601">
        <v>8</v>
      </c>
      <c r="W13" s="601">
        <v>12</v>
      </c>
      <c r="X13" s="601">
        <v>14</v>
      </c>
      <c r="Y13" s="601">
        <v>2</v>
      </c>
      <c r="Z13" s="602">
        <v>6</v>
      </c>
      <c r="AA13" s="603">
        <v>0</v>
      </c>
      <c r="AB13" s="603">
        <v>2</v>
      </c>
      <c r="AC13" s="603">
        <v>6</v>
      </c>
      <c r="AD13" s="603">
        <v>6</v>
      </c>
      <c r="AE13" s="603">
        <v>7</v>
      </c>
      <c r="AF13" s="603">
        <v>4</v>
      </c>
      <c r="AG13" s="745">
        <v>10</v>
      </c>
      <c r="AH13" s="603">
        <v>1</v>
      </c>
      <c r="AI13" s="603">
        <v>1</v>
      </c>
      <c r="AJ13" s="604">
        <f>(4+11)/2</f>
        <v>7.5</v>
      </c>
      <c r="AK13" s="603">
        <v>2</v>
      </c>
      <c r="AL13" s="605">
        <v>6</v>
      </c>
      <c r="AM13" s="606">
        <v>0.5</v>
      </c>
      <c r="AN13" s="605">
        <v>0</v>
      </c>
      <c r="AO13" s="605">
        <v>3</v>
      </c>
      <c r="AP13" s="605">
        <v>2</v>
      </c>
      <c r="AQ13" s="606">
        <v>0</v>
      </c>
      <c r="AR13" s="920">
        <v>29</v>
      </c>
      <c r="AS13" s="926">
        <v>1</v>
      </c>
      <c r="AT13" s="1073">
        <v>2</v>
      </c>
      <c r="AU13" s="1370">
        <v>4</v>
      </c>
      <c r="AV13" s="1370">
        <v>8</v>
      </c>
      <c r="AW13" s="1370">
        <v>11</v>
      </c>
      <c r="AX13" s="1370">
        <v>1</v>
      </c>
      <c r="AY13" s="1370">
        <v>0</v>
      </c>
      <c r="AZ13" s="914">
        <f>ハダニ野帳!$D$63</f>
        <v>0</v>
      </c>
      <c r="BA13" s="434"/>
      <c r="BB13" s="484" t="s">
        <v>225</v>
      </c>
    </row>
    <row r="14" spans="1:54" ht="13.5" customHeight="1">
      <c r="A14" s="403"/>
      <c r="B14" s="408" t="s">
        <v>230</v>
      </c>
      <c r="C14" s="491" t="s">
        <v>227</v>
      </c>
      <c r="D14" s="632">
        <f t="shared" ca="1" si="0"/>
        <v>0</v>
      </c>
      <c r="E14" s="779">
        <f t="shared" ca="1" si="2"/>
        <v>9.3000000000000007</v>
      </c>
      <c r="F14" s="464"/>
      <c r="G14" s="464"/>
      <c r="H14" s="465">
        <f t="shared" ca="1" si="1"/>
        <v>10.6</v>
      </c>
      <c r="I14" s="607"/>
      <c r="J14" s="600"/>
      <c r="K14" s="490" t="s">
        <v>230</v>
      </c>
      <c r="L14" s="491" t="s">
        <v>227</v>
      </c>
      <c r="M14" s="608">
        <v>0</v>
      </c>
      <c r="N14" s="608">
        <v>0</v>
      </c>
      <c r="O14" s="608">
        <v>53</v>
      </c>
      <c r="P14" s="608">
        <v>12</v>
      </c>
      <c r="Q14" s="608">
        <v>0</v>
      </c>
      <c r="R14" s="608">
        <v>0</v>
      </c>
      <c r="S14" s="608">
        <v>8</v>
      </c>
      <c r="T14" s="608">
        <v>15</v>
      </c>
      <c r="U14" s="608">
        <v>13</v>
      </c>
      <c r="V14" s="608">
        <v>0</v>
      </c>
      <c r="W14" s="608">
        <v>20</v>
      </c>
      <c r="X14" s="608">
        <v>13.1</v>
      </c>
      <c r="Y14" s="608">
        <v>0</v>
      </c>
      <c r="Z14" s="609">
        <v>14</v>
      </c>
      <c r="AA14" s="562">
        <v>4</v>
      </c>
      <c r="AB14" s="562">
        <v>8</v>
      </c>
      <c r="AC14" s="562">
        <v>6</v>
      </c>
      <c r="AD14" s="562">
        <v>7</v>
      </c>
      <c r="AE14" s="562">
        <v>9</v>
      </c>
      <c r="AF14" s="562">
        <v>1</v>
      </c>
      <c r="AG14" s="746">
        <v>10</v>
      </c>
      <c r="AH14" s="562">
        <v>1</v>
      </c>
      <c r="AI14" s="562">
        <v>2</v>
      </c>
      <c r="AJ14" s="561">
        <v>4.7</v>
      </c>
      <c r="AK14" s="562">
        <v>3</v>
      </c>
      <c r="AL14" s="610">
        <v>6</v>
      </c>
      <c r="AM14" s="611">
        <v>1</v>
      </c>
      <c r="AN14" s="610">
        <v>0</v>
      </c>
      <c r="AO14" s="610">
        <v>4</v>
      </c>
      <c r="AP14" s="610">
        <v>4</v>
      </c>
      <c r="AQ14" s="611">
        <v>1</v>
      </c>
      <c r="AR14" s="918">
        <v>28</v>
      </c>
      <c r="AS14" s="924">
        <v>3</v>
      </c>
      <c r="AT14" s="1071">
        <v>4</v>
      </c>
      <c r="AU14" s="1368">
        <v>6</v>
      </c>
      <c r="AV14" s="1368">
        <v>21</v>
      </c>
      <c r="AW14" s="1368">
        <v>24</v>
      </c>
      <c r="AX14" s="1368">
        <v>1</v>
      </c>
      <c r="AY14" s="1368">
        <v>1</v>
      </c>
      <c r="AZ14" s="636">
        <f>ハダニ野帳!$Z$63</f>
        <v>0</v>
      </c>
      <c r="BA14" s="490" t="s">
        <v>230</v>
      </c>
      <c r="BB14" s="491" t="s">
        <v>227</v>
      </c>
    </row>
    <row r="15" spans="1:54" ht="13.5" customHeight="1" thickBot="1">
      <c r="A15" s="403"/>
      <c r="B15" s="409"/>
      <c r="C15" s="509" t="s">
        <v>228</v>
      </c>
      <c r="D15" s="627">
        <f t="shared" ca="1" si="0"/>
        <v>2</v>
      </c>
      <c r="E15" s="1609">
        <f t="shared" ca="1" si="2"/>
        <v>9.6999999999999993</v>
      </c>
      <c r="F15" s="475"/>
      <c r="G15" s="475"/>
      <c r="H15" s="476">
        <f t="shared" ca="1" si="1"/>
        <v>10.6</v>
      </c>
      <c r="I15" s="615"/>
      <c r="J15" s="600"/>
      <c r="K15" s="508"/>
      <c r="L15" s="491" t="s">
        <v>228</v>
      </c>
      <c r="M15" s="616">
        <v>0</v>
      </c>
      <c r="N15" s="616">
        <v>0</v>
      </c>
      <c r="O15" s="616">
        <v>50</v>
      </c>
      <c r="P15" s="616">
        <v>17</v>
      </c>
      <c r="Q15" s="616">
        <v>8</v>
      </c>
      <c r="R15" s="616">
        <v>0</v>
      </c>
      <c r="S15" s="616">
        <v>5</v>
      </c>
      <c r="T15" s="616">
        <v>18</v>
      </c>
      <c r="U15" s="616">
        <v>11.7</v>
      </c>
      <c r="V15" s="616">
        <v>6</v>
      </c>
      <c r="W15" s="616">
        <v>24.6</v>
      </c>
      <c r="X15" s="616">
        <v>16.7</v>
      </c>
      <c r="Y15" s="616">
        <v>0</v>
      </c>
      <c r="Z15" s="617">
        <v>12</v>
      </c>
      <c r="AA15" s="618">
        <v>2</v>
      </c>
      <c r="AB15" s="618">
        <v>18</v>
      </c>
      <c r="AC15" s="618">
        <v>18</v>
      </c>
      <c r="AD15" s="618">
        <v>12</v>
      </c>
      <c r="AE15" s="618">
        <v>15</v>
      </c>
      <c r="AF15" s="618">
        <v>2</v>
      </c>
      <c r="AG15" s="747">
        <v>9</v>
      </c>
      <c r="AH15" s="618">
        <v>3</v>
      </c>
      <c r="AI15" s="618">
        <v>2</v>
      </c>
      <c r="AJ15" s="619">
        <v>1.82</v>
      </c>
      <c r="AK15" s="618">
        <v>4</v>
      </c>
      <c r="AL15" s="620">
        <v>6</v>
      </c>
      <c r="AM15" s="621">
        <v>0.5</v>
      </c>
      <c r="AN15" s="620">
        <v>0</v>
      </c>
      <c r="AO15" s="620">
        <v>7</v>
      </c>
      <c r="AP15" s="620">
        <v>7</v>
      </c>
      <c r="AQ15" s="621">
        <v>0</v>
      </c>
      <c r="AR15" s="921">
        <v>35</v>
      </c>
      <c r="AS15" s="927">
        <v>2</v>
      </c>
      <c r="AT15" s="1074">
        <v>0</v>
      </c>
      <c r="AU15" s="1371">
        <v>10</v>
      </c>
      <c r="AV15" s="1371">
        <v>21</v>
      </c>
      <c r="AW15" s="1371">
        <v>18</v>
      </c>
      <c r="AX15" s="1371">
        <v>4</v>
      </c>
      <c r="AY15" s="1371">
        <v>0</v>
      </c>
      <c r="AZ15" s="915">
        <f>ハダニ野帳!$AV$63</f>
        <v>2</v>
      </c>
      <c r="BA15" s="508"/>
      <c r="BB15" s="491" t="s">
        <v>228</v>
      </c>
    </row>
    <row r="16" spans="1:54" ht="13.5" customHeight="1">
      <c r="A16" s="403"/>
      <c r="B16" s="407"/>
      <c r="C16" s="515" t="s">
        <v>225</v>
      </c>
      <c r="D16" s="543">
        <f t="shared" ca="1" si="0"/>
        <v>2</v>
      </c>
      <c r="E16" s="779">
        <f t="shared" ca="1" si="2"/>
        <v>11.6</v>
      </c>
      <c r="F16" s="453"/>
      <c r="G16" s="453"/>
      <c r="H16" s="454">
        <f t="shared" ca="1" si="1"/>
        <v>9.6</v>
      </c>
      <c r="I16" s="607"/>
      <c r="J16" s="600"/>
      <c r="K16" s="434"/>
      <c r="L16" s="484" t="s">
        <v>225</v>
      </c>
      <c r="M16" s="623">
        <v>1</v>
      </c>
      <c r="N16" s="623">
        <v>3</v>
      </c>
      <c r="O16" s="623">
        <v>39</v>
      </c>
      <c r="P16" s="623">
        <v>22</v>
      </c>
      <c r="Q16" s="623">
        <v>6</v>
      </c>
      <c r="R16" s="623">
        <v>4</v>
      </c>
      <c r="S16" s="623">
        <v>8</v>
      </c>
      <c r="T16" s="623">
        <v>20.9</v>
      </c>
      <c r="U16" s="623">
        <v>9.8000000000000007</v>
      </c>
      <c r="V16" s="623">
        <v>8</v>
      </c>
      <c r="W16" s="623">
        <v>16.7</v>
      </c>
      <c r="X16" s="623">
        <v>23.3</v>
      </c>
      <c r="Y16" s="623">
        <v>2</v>
      </c>
      <c r="Z16" s="624">
        <v>10</v>
      </c>
      <c r="AA16" s="559">
        <v>2</v>
      </c>
      <c r="AB16" s="559">
        <v>31</v>
      </c>
      <c r="AC16" s="559">
        <v>18</v>
      </c>
      <c r="AD16" s="559">
        <v>8</v>
      </c>
      <c r="AE16" s="559">
        <v>11</v>
      </c>
      <c r="AF16" s="559">
        <v>2</v>
      </c>
      <c r="AG16" s="748">
        <v>11</v>
      </c>
      <c r="AH16" s="559">
        <v>2</v>
      </c>
      <c r="AI16" s="559">
        <v>0</v>
      </c>
      <c r="AJ16" s="558">
        <v>3.64</v>
      </c>
      <c r="AK16" s="559">
        <v>2</v>
      </c>
      <c r="AL16" s="625">
        <v>6</v>
      </c>
      <c r="AM16" s="626">
        <v>1</v>
      </c>
      <c r="AN16" s="625">
        <v>11</v>
      </c>
      <c r="AO16" s="625">
        <v>2</v>
      </c>
      <c r="AP16" s="625">
        <v>4</v>
      </c>
      <c r="AQ16" s="626">
        <v>2</v>
      </c>
      <c r="AR16" s="917">
        <v>49</v>
      </c>
      <c r="AS16" s="923">
        <v>7</v>
      </c>
      <c r="AT16" s="1070">
        <v>6</v>
      </c>
      <c r="AU16" s="1367">
        <v>1</v>
      </c>
      <c r="AV16" s="1367">
        <v>30</v>
      </c>
      <c r="AW16" s="1367">
        <v>11</v>
      </c>
      <c r="AX16" s="1367">
        <v>6</v>
      </c>
      <c r="AY16" s="1367">
        <v>0</v>
      </c>
      <c r="AZ16" s="635">
        <f>ハダニ野帳!$D$92</f>
        <v>2</v>
      </c>
      <c r="BA16" s="434"/>
      <c r="BB16" s="484" t="s">
        <v>225</v>
      </c>
    </row>
    <row r="17" spans="1:54" ht="13.5" customHeight="1">
      <c r="A17" s="403"/>
      <c r="B17" s="408" t="s">
        <v>231</v>
      </c>
      <c r="C17" s="491" t="s">
        <v>227</v>
      </c>
      <c r="D17" s="632">
        <f t="shared" ca="1" si="0"/>
        <v>2</v>
      </c>
      <c r="E17" s="779">
        <f t="shared" ca="1" si="2"/>
        <v>8.1</v>
      </c>
      <c r="F17" s="464"/>
      <c r="G17" s="464"/>
      <c r="H17" s="465">
        <f t="shared" ca="1" si="1"/>
        <v>11.6</v>
      </c>
      <c r="I17" s="607"/>
      <c r="J17" s="600"/>
      <c r="K17" s="490" t="s">
        <v>231</v>
      </c>
      <c r="L17" s="491" t="s">
        <v>227</v>
      </c>
      <c r="M17" s="608">
        <v>2</v>
      </c>
      <c r="N17" s="608">
        <v>0</v>
      </c>
      <c r="O17" s="608">
        <v>54</v>
      </c>
      <c r="P17" s="608">
        <v>26</v>
      </c>
      <c r="Q17" s="608">
        <v>16</v>
      </c>
      <c r="R17" s="608">
        <v>0</v>
      </c>
      <c r="S17" s="608">
        <v>16</v>
      </c>
      <c r="T17" s="608">
        <v>29.3</v>
      </c>
      <c r="U17" s="608">
        <v>6.3</v>
      </c>
      <c r="V17" s="608">
        <v>14</v>
      </c>
      <c r="W17" s="608">
        <v>21.7</v>
      </c>
      <c r="X17" s="608">
        <v>18</v>
      </c>
      <c r="Y17" s="608">
        <v>0</v>
      </c>
      <c r="Z17" s="609">
        <v>16</v>
      </c>
      <c r="AA17" s="562">
        <v>4</v>
      </c>
      <c r="AB17" s="562">
        <v>28.7</v>
      </c>
      <c r="AC17" s="562">
        <v>13</v>
      </c>
      <c r="AD17" s="562">
        <v>16</v>
      </c>
      <c r="AE17" s="562">
        <v>8</v>
      </c>
      <c r="AF17" s="562">
        <v>1</v>
      </c>
      <c r="AG17" s="746">
        <v>13</v>
      </c>
      <c r="AH17" s="562">
        <v>1</v>
      </c>
      <c r="AI17" s="562">
        <v>0</v>
      </c>
      <c r="AJ17" s="561">
        <v>0.96</v>
      </c>
      <c r="AK17" s="562">
        <v>7</v>
      </c>
      <c r="AL17" s="610">
        <v>2</v>
      </c>
      <c r="AM17" s="611">
        <v>5</v>
      </c>
      <c r="AN17" s="610">
        <v>8</v>
      </c>
      <c r="AO17" s="610">
        <v>1</v>
      </c>
      <c r="AP17" s="610">
        <v>2</v>
      </c>
      <c r="AQ17" s="611">
        <v>5</v>
      </c>
      <c r="AR17" s="918">
        <v>4</v>
      </c>
      <c r="AS17" s="924">
        <v>11</v>
      </c>
      <c r="AT17" s="1071">
        <v>1</v>
      </c>
      <c r="AU17" s="1368">
        <v>4</v>
      </c>
      <c r="AV17" s="1368">
        <v>38</v>
      </c>
      <c r="AW17" s="1368">
        <v>14</v>
      </c>
      <c r="AX17" s="1368">
        <v>2</v>
      </c>
      <c r="AY17" s="1368">
        <v>0</v>
      </c>
      <c r="AZ17" s="636">
        <f>ハダニ野帳!$Z$92</f>
        <v>2</v>
      </c>
      <c r="BA17" s="490" t="s">
        <v>231</v>
      </c>
      <c r="BB17" s="491" t="s">
        <v>227</v>
      </c>
    </row>
    <row r="18" spans="1:54" ht="13.5" customHeight="1" thickBot="1">
      <c r="A18" s="403"/>
      <c r="B18" s="409"/>
      <c r="C18" s="491" t="s">
        <v>228</v>
      </c>
      <c r="D18" s="613">
        <f t="shared" ca="1" si="0"/>
        <v>0</v>
      </c>
      <c r="E18" s="1607">
        <f t="shared" ca="1" si="2"/>
        <v>4.7</v>
      </c>
      <c r="F18" s="475"/>
      <c r="G18" s="475"/>
      <c r="H18" s="476">
        <f t="shared" ca="1" si="1"/>
        <v>6.4</v>
      </c>
      <c r="I18" s="615"/>
      <c r="J18" s="600"/>
      <c r="K18" s="508"/>
      <c r="L18" s="491" t="s">
        <v>228</v>
      </c>
      <c r="M18" s="628">
        <v>9</v>
      </c>
      <c r="N18" s="628">
        <v>0</v>
      </c>
      <c r="O18" s="628">
        <v>49</v>
      </c>
      <c r="P18" s="628">
        <v>28</v>
      </c>
      <c r="Q18" s="628">
        <v>4</v>
      </c>
      <c r="R18" s="628">
        <v>4</v>
      </c>
      <c r="S18" s="628">
        <v>18</v>
      </c>
      <c r="T18" s="628">
        <v>22.9</v>
      </c>
      <c r="U18" s="628">
        <v>7.8</v>
      </c>
      <c r="V18" s="628">
        <v>8</v>
      </c>
      <c r="W18" s="628">
        <v>26.7</v>
      </c>
      <c r="X18" s="628">
        <v>1</v>
      </c>
      <c r="Y18" s="628">
        <v>0</v>
      </c>
      <c r="Z18" s="629">
        <v>10</v>
      </c>
      <c r="AA18" s="565">
        <v>1.3</v>
      </c>
      <c r="AB18" s="565">
        <v>20</v>
      </c>
      <c r="AC18" s="565">
        <v>6</v>
      </c>
      <c r="AD18" s="565">
        <v>13</v>
      </c>
      <c r="AE18" s="565">
        <v>19</v>
      </c>
      <c r="AF18" s="565">
        <v>2</v>
      </c>
      <c r="AG18" s="749">
        <v>10</v>
      </c>
      <c r="AH18" s="565">
        <v>7</v>
      </c>
      <c r="AI18" s="565">
        <v>0</v>
      </c>
      <c r="AJ18" s="564">
        <v>3.64</v>
      </c>
      <c r="AK18" s="565">
        <v>3</v>
      </c>
      <c r="AL18" s="630">
        <v>5</v>
      </c>
      <c r="AM18" s="631">
        <v>3</v>
      </c>
      <c r="AN18" s="630">
        <v>7</v>
      </c>
      <c r="AO18" s="630">
        <v>4</v>
      </c>
      <c r="AP18" s="620">
        <v>4</v>
      </c>
      <c r="AQ18" s="621">
        <v>0</v>
      </c>
      <c r="AR18" s="921">
        <v>11</v>
      </c>
      <c r="AS18" s="927">
        <v>0</v>
      </c>
      <c r="AT18" s="1074">
        <v>0</v>
      </c>
      <c r="AU18" s="1371">
        <v>1</v>
      </c>
      <c r="AV18" s="1371">
        <v>21</v>
      </c>
      <c r="AW18" s="1371">
        <v>9</v>
      </c>
      <c r="AX18" s="1371">
        <v>1</v>
      </c>
      <c r="AY18" s="1371">
        <v>0</v>
      </c>
      <c r="AZ18" s="915">
        <f>ハダニ野帳!$AV$92</f>
        <v>0</v>
      </c>
      <c r="BA18" s="508"/>
      <c r="BB18" s="491" t="s">
        <v>228</v>
      </c>
    </row>
    <row r="19" spans="1:54" ht="13.5" customHeight="1">
      <c r="A19" s="403"/>
      <c r="B19" s="407"/>
      <c r="C19" s="484" t="s">
        <v>225</v>
      </c>
      <c r="D19" s="622">
        <f t="shared" ca="1" si="0"/>
        <v>0</v>
      </c>
      <c r="E19" s="1606">
        <f t="shared" ca="1" si="2"/>
        <v>4</v>
      </c>
      <c r="F19" s="453"/>
      <c r="G19" s="453"/>
      <c r="H19" s="454">
        <f t="shared" ca="1" si="1"/>
        <v>5</v>
      </c>
      <c r="I19" s="607"/>
      <c r="J19" s="600"/>
      <c r="K19" s="434"/>
      <c r="L19" s="484" t="s">
        <v>225</v>
      </c>
      <c r="M19" s="601">
        <v>16</v>
      </c>
      <c r="N19" s="601">
        <v>0</v>
      </c>
      <c r="O19" s="601">
        <v>28</v>
      </c>
      <c r="P19" s="601">
        <v>42</v>
      </c>
      <c r="Q19" s="601">
        <v>6</v>
      </c>
      <c r="R19" s="601">
        <v>12</v>
      </c>
      <c r="S19" s="601">
        <v>38</v>
      </c>
      <c r="T19" s="601">
        <v>26</v>
      </c>
      <c r="U19" s="601">
        <v>11.7</v>
      </c>
      <c r="V19" s="601">
        <v>9.3000000000000007</v>
      </c>
      <c r="W19" s="601">
        <v>26</v>
      </c>
      <c r="X19" s="601">
        <v>0</v>
      </c>
      <c r="Y19" s="601">
        <v>0</v>
      </c>
      <c r="Z19" s="602">
        <v>12</v>
      </c>
      <c r="AA19" s="603">
        <v>1</v>
      </c>
      <c r="AB19" s="603">
        <v>19</v>
      </c>
      <c r="AC19" s="603">
        <v>9</v>
      </c>
      <c r="AD19" s="603">
        <v>13</v>
      </c>
      <c r="AE19" s="603">
        <v>18</v>
      </c>
      <c r="AF19" s="603">
        <v>2</v>
      </c>
      <c r="AG19" s="745">
        <v>12</v>
      </c>
      <c r="AH19" s="603">
        <v>7</v>
      </c>
      <c r="AI19" s="603">
        <v>0</v>
      </c>
      <c r="AJ19" s="604">
        <v>0</v>
      </c>
      <c r="AK19" s="603">
        <v>14</v>
      </c>
      <c r="AL19" s="605">
        <v>1</v>
      </c>
      <c r="AM19" s="606">
        <v>2</v>
      </c>
      <c r="AN19" s="605">
        <v>8</v>
      </c>
      <c r="AO19" s="605">
        <v>1</v>
      </c>
      <c r="AP19" s="625">
        <v>3</v>
      </c>
      <c r="AQ19" s="626">
        <v>0</v>
      </c>
      <c r="AR19" s="917">
        <v>2</v>
      </c>
      <c r="AS19" s="923">
        <v>7</v>
      </c>
      <c r="AT19" s="1070">
        <v>3</v>
      </c>
      <c r="AU19" s="1367">
        <v>1</v>
      </c>
      <c r="AV19" s="1367">
        <v>16</v>
      </c>
      <c r="AW19" s="1367">
        <v>8</v>
      </c>
      <c r="AX19" s="1367">
        <v>0</v>
      </c>
      <c r="AY19" s="1367">
        <v>0</v>
      </c>
      <c r="AZ19" s="635">
        <f>ハダニ野帳!$D$121</f>
        <v>0</v>
      </c>
      <c r="BA19" s="434"/>
      <c r="BB19" s="484" t="s">
        <v>225</v>
      </c>
    </row>
    <row r="20" spans="1:54" ht="13.5" customHeight="1">
      <c r="A20" s="403"/>
      <c r="B20" s="408" t="s">
        <v>232</v>
      </c>
      <c r="C20" s="491" t="s">
        <v>227</v>
      </c>
      <c r="D20" s="632">
        <f t="shared" ca="1" si="0"/>
        <v>0</v>
      </c>
      <c r="E20" s="779">
        <f t="shared" ca="1" si="2"/>
        <v>2.5</v>
      </c>
      <c r="F20" s="464"/>
      <c r="G20" s="464"/>
      <c r="H20" s="465">
        <f t="shared" ca="1" si="1"/>
        <v>3.8</v>
      </c>
      <c r="I20" s="607"/>
      <c r="J20" s="600"/>
      <c r="K20" s="490" t="s">
        <v>232</v>
      </c>
      <c r="L20" s="491" t="s">
        <v>227</v>
      </c>
      <c r="M20" s="608">
        <v>24</v>
      </c>
      <c r="N20" s="608">
        <v>0</v>
      </c>
      <c r="O20" s="608">
        <v>7</v>
      </c>
      <c r="P20" s="608">
        <v>22</v>
      </c>
      <c r="Q20" s="608">
        <v>4</v>
      </c>
      <c r="R20" s="608">
        <v>10</v>
      </c>
      <c r="S20" s="608">
        <v>60</v>
      </c>
      <c r="T20" s="608">
        <v>10.199999999999999</v>
      </c>
      <c r="U20" s="608">
        <v>14</v>
      </c>
      <c r="V20" s="608">
        <v>2</v>
      </c>
      <c r="W20" s="608">
        <v>10</v>
      </c>
      <c r="X20" s="608">
        <v>0</v>
      </c>
      <c r="Y20" s="608">
        <v>0</v>
      </c>
      <c r="Z20" s="609">
        <v>8</v>
      </c>
      <c r="AA20" s="562">
        <v>0</v>
      </c>
      <c r="AB20" s="562">
        <v>20</v>
      </c>
      <c r="AC20" s="562">
        <v>1</v>
      </c>
      <c r="AD20" s="562">
        <v>6</v>
      </c>
      <c r="AE20" s="562">
        <v>8</v>
      </c>
      <c r="AF20" s="562">
        <v>0</v>
      </c>
      <c r="AG20" s="746">
        <v>7</v>
      </c>
      <c r="AH20" s="562">
        <v>1</v>
      </c>
      <c r="AI20" s="562">
        <v>0</v>
      </c>
      <c r="AJ20" s="561">
        <v>0</v>
      </c>
      <c r="AK20" s="562">
        <v>10</v>
      </c>
      <c r="AL20" s="610">
        <v>1</v>
      </c>
      <c r="AM20" s="611">
        <v>5</v>
      </c>
      <c r="AN20" s="610">
        <v>4</v>
      </c>
      <c r="AO20" s="610">
        <v>3</v>
      </c>
      <c r="AP20" s="610">
        <v>3</v>
      </c>
      <c r="AQ20" s="611">
        <v>0</v>
      </c>
      <c r="AR20" s="918">
        <v>1</v>
      </c>
      <c r="AS20" s="924">
        <v>2</v>
      </c>
      <c r="AT20" s="1071">
        <v>0</v>
      </c>
      <c r="AU20" s="1368">
        <v>3</v>
      </c>
      <c r="AV20" s="1368">
        <v>6</v>
      </c>
      <c r="AW20" s="1368">
        <v>10</v>
      </c>
      <c r="AX20" s="1368">
        <v>0</v>
      </c>
      <c r="AY20" s="1368">
        <v>0</v>
      </c>
      <c r="AZ20" s="636">
        <f>ハダニ野帳!$Z$121</f>
        <v>0</v>
      </c>
      <c r="BA20" s="490" t="s">
        <v>232</v>
      </c>
      <c r="BB20" s="491" t="s">
        <v>227</v>
      </c>
    </row>
    <row r="21" spans="1:54" ht="13.5" customHeight="1" thickBot="1">
      <c r="A21" s="403"/>
      <c r="B21" s="409"/>
      <c r="C21" s="612" t="s">
        <v>228</v>
      </c>
      <c r="D21" s="627">
        <f t="shared" ca="1" si="0"/>
        <v>1</v>
      </c>
      <c r="E21" s="1607">
        <f t="shared" ca="1" si="2"/>
        <v>2.1</v>
      </c>
      <c r="F21" s="475"/>
      <c r="G21" s="475"/>
      <c r="H21" s="476">
        <f t="shared" ca="1" si="1"/>
        <v>3.4</v>
      </c>
      <c r="I21" s="615"/>
      <c r="J21" s="600"/>
      <c r="K21" s="508"/>
      <c r="L21" s="491" t="s">
        <v>228</v>
      </c>
      <c r="M21" s="616">
        <v>27</v>
      </c>
      <c r="N21" s="616">
        <v>0</v>
      </c>
      <c r="O21" s="616">
        <v>7</v>
      </c>
      <c r="P21" s="616">
        <v>24</v>
      </c>
      <c r="Q21" s="616">
        <v>2</v>
      </c>
      <c r="R21" s="616">
        <v>41</v>
      </c>
      <c r="S21" s="616">
        <v>38</v>
      </c>
      <c r="T21" s="616">
        <v>8.3000000000000007</v>
      </c>
      <c r="U21" s="616">
        <v>10</v>
      </c>
      <c r="V21" s="616">
        <v>2</v>
      </c>
      <c r="W21" s="616">
        <v>4</v>
      </c>
      <c r="X21" s="616">
        <v>0</v>
      </c>
      <c r="Y21" s="616">
        <v>0</v>
      </c>
      <c r="Z21" s="617">
        <v>5.4</v>
      </c>
      <c r="AA21" s="618">
        <v>3</v>
      </c>
      <c r="AB21" s="618">
        <v>30</v>
      </c>
      <c r="AC21" s="618">
        <v>0</v>
      </c>
      <c r="AD21" s="618">
        <v>8</v>
      </c>
      <c r="AE21" s="618">
        <v>19</v>
      </c>
      <c r="AF21" s="618">
        <v>0</v>
      </c>
      <c r="AG21" s="747">
        <v>7</v>
      </c>
      <c r="AH21" s="618">
        <v>7</v>
      </c>
      <c r="AI21" s="618">
        <v>0</v>
      </c>
      <c r="AJ21" s="619">
        <v>0</v>
      </c>
      <c r="AK21" s="618">
        <v>3</v>
      </c>
      <c r="AL21" s="620">
        <v>3</v>
      </c>
      <c r="AM21" s="621">
        <v>16</v>
      </c>
      <c r="AN21" s="620">
        <v>5</v>
      </c>
      <c r="AO21" s="620">
        <v>6</v>
      </c>
      <c r="AP21" s="630">
        <v>0</v>
      </c>
      <c r="AQ21" s="631">
        <v>1</v>
      </c>
      <c r="AR21" s="919">
        <v>0</v>
      </c>
      <c r="AS21" s="925">
        <v>2</v>
      </c>
      <c r="AT21" s="1072">
        <v>1</v>
      </c>
      <c r="AU21" s="1369">
        <v>3</v>
      </c>
      <c r="AV21" s="1369">
        <v>3</v>
      </c>
      <c r="AW21" s="1369">
        <v>11</v>
      </c>
      <c r="AX21" s="1369">
        <v>0</v>
      </c>
      <c r="AY21" s="1369">
        <v>0</v>
      </c>
      <c r="AZ21" s="637">
        <f>ハダニ野帳!$AV$121</f>
        <v>1</v>
      </c>
      <c r="BA21" s="508"/>
      <c r="BB21" s="491" t="s">
        <v>228</v>
      </c>
    </row>
    <row r="22" spans="1:54" ht="13.5" customHeight="1">
      <c r="A22" s="403"/>
      <c r="B22" s="407"/>
      <c r="C22" s="484" t="s">
        <v>225</v>
      </c>
      <c r="D22" s="1777">
        <f t="shared" ca="1" si="0"/>
        <v>0</v>
      </c>
      <c r="E22" s="1606">
        <f t="shared" ca="1" si="2"/>
        <v>1.5</v>
      </c>
      <c r="F22" s="453"/>
      <c r="G22" s="453"/>
      <c r="H22" s="454">
        <f t="shared" ca="1" si="1"/>
        <v>2.4</v>
      </c>
      <c r="I22" s="607"/>
      <c r="J22" s="600"/>
      <c r="K22" s="434"/>
      <c r="L22" s="484" t="s">
        <v>225</v>
      </c>
      <c r="M22" s="623">
        <v>30</v>
      </c>
      <c r="N22" s="623">
        <v>0</v>
      </c>
      <c r="O22" s="623">
        <v>5</v>
      </c>
      <c r="P22" s="623">
        <v>20</v>
      </c>
      <c r="Q22" s="623">
        <v>3</v>
      </c>
      <c r="R22" s="623">
        <v>44</v>
      </c>
      <c r="S22" s="623">
        <v>22</v>
      </c>
      <c r="T22" s="623">
        <v>2</v>
      </c>
      <c r="U22" s="623">
        <v>20</v>
      </c>
      <c r="V22" s="623">
        <v>6</v>
      </c>
      <c r="W22" s="623">
        <v>4</v>
      </c>
      <c r="X22" s="623">
        <v>0</v>
      </c>
      <c r="Y22" s="623">
        <v>6</v>
      </c>
      <c r="Z22" s="624">
        <v>2.7</v>
      </c>
      <c r="AA22" s="559">
        <v>11</v>
      </c>
      <c r="AB22" s="559">
        <v>18.3</v>
      </c>
      <c r="AC22" s="559">
        <v>2</v>
      </c>
      <c r="AD22" s="559">
        <v>9</v>
      </c>
      <c r="AE22" s="559">
        <v>8</v>
      </c>
      <c r="AF22" s="559">
        <v>0</v>
      </c>
      <c r="AG22" s="748">
        <v>8</v>
      </c>
      <c r="AH22" s="559">
        <v>2</v>
      </c>
      <c r="AI22" s="559">
        <v>0.5</v>
      </c>
      <c r="AJ22" s="558">
        <v>0</v>
      </c>
      <c r="AK22" s="559">
        <v>7</v>
      </c>
      <c r="AL22" s="625">
        <v>2</v>
      </c>
      <c r="AM22" s="626">
        <v>9</v>
      </c>
      <c r="AN22" s="625">
        <v>0</v>
      </c>
      <c r="AO22" s="625">
        <v>0</v>
      </c>
      <c r="AP22" s="605">
        <v>1</v>
      </c>
      <c r="AQ22" s="606">
        <v>0</v>
      </c>
      <c r="AR22" s="920">
        <v>0</v>
      </c>
      <c r="AS22" s="926">
        <v>0</v>
      </c>
      <c r="AT22" s="1073">
        <v>2</v>
      </c>
      <c r="AU22" s="1370">
        <v>1</v>
      </c>
      <c r="AV22" s="1370">
        <v>3</v>
      </c>
      <c r="AW22" s="1370">
        <v>5</v>
      </c>
      <c r="AX22" s="1370">
        <v>0</v>
      </c>
      <c r="AY22" s="1370">
        <v>3</v>
      </c>
      <c r="AZ22" s="914">
        <f>ハダニ野帳!$D$150</f>
        <v>0</v>
      </c>
      <c r="BA22" s="434"/>
      <c r="BB22" s="484" t="s">
        <v>225</v>
      </c>
    </row>
    <row r="23" spans="1:54" ht="13.5" customHeight="1">
      <c r="A23" s="403"/>
      <c r="B23" s="408" t="s">
        <v>233</v>
      </c>
      <c r="C23" s="491" t="s">
        <v>227</v>
      </c>
      <c r="D23" s="633">
        <f t="shared" ca="1" si="0"/>
        <v>0</v>
      </c>
      <c r="E23" s="779">
        <f t="shared" ca="1" si="2"/>
        <v>1.5</v>
      </c>
      <c r="F23" s="464"/>
      <c r="G23" s="464"/>
      <c r="H23" s="465">
        <f t="shared" ca="1" si="1"/>
        <v>2.2000000000000002</v>
      </c>
      <c r="I23" s="607"/>
      <c r="J23" s="600"/>
      <c r="K23" s="490" t="s">
        <v>233</v>
      </c>
      <c r="L23" s="491" t="s">
        <v>227</v>
      </c>
      <c r="M23" s="608">
        <v>34</v>
      </c>
      <c r="N23" s="608">
        <v>0</v>
      </c>
      <c r="O23" s="608">
        <v>19</v>
      </c>
      <c r="P23" s="608">
        <v>6</v>
      </c>
      <c r="Q23" s="608">
        <v>4</v>
      </c>
      <c r="R23" s="608">
        <v>70</v>
      </c>
      <c r="S23" s="608">
        <v>8</v>
      </c>
      <c r="T23" s="608">
        <v>0</v>
      </c>
      <c r="U23" s="608">
        <v>23</v>
      </c>
      <c r="V23" s="608">
        <v>12</v>
      </c>
      <c r="W23" s="608">
        <v>0</v>
      </c>
      <c r="X23" s="608">
        <v>0</v>
      </c>
      <c r="Y23" s="608">
        <v>8</v>
      </c>
      <c r="Z23" s="609">
        <v>5</v>
      </c>
      <c r="AA23" s="562">
        <v>8.6999999999999993</v>
      </c>
      <c r="AB23" s="562">
        <v>25.8</v>
      </c>
      <c r="AC23" s="562">
        <v>4</v>
      </c>
      <c r="AD23" s="562">
        <v>1</v>
      </c>
      <c r="AE23" s="562">
        <v>3</v>
      </c>
      <c r="AF23" s="562">
        <v>0</v>
      </c>
      <c r="AG23" s="746">
        <v>0</v>
      </c>
      <c r="AH23" s="562">
        <v>3</v>
      </c>
      <c r="AI23" s="562">
        <v>0.5</v>
      </c>
      <c r="AJ23" s="561">
        <v>0</v>
      </c>
      <c r="AK23" s="562">
        <v>4</v>
      </c>
      <c r="AL23" s="610">
        <v>5</v>
      </c>
      <c r="AM23" s="611">
        <v>1</v>
      </c>
      <c r="AN23" s="610">
        <v>1</v>
      </c>
      <c r="AO23" s="610">
        <v>0</v>
      </c>
      <c r="AP23" s="610">
        <v>1</v>
      </c>
      <c r="AQ23" s="611">
        <v>0</v>
      </c>
      <c r="AR23" s="918">
        <v>0</v>
      </c>
      <c r="AS23" s="924">
        <v>0</v>
      </c>
      <c r="AT23" s="1071">
        <v>3</v>
      </c>
      <c r="AU23" s="1368">
        <v>1</v>
      </c>
      <c r="AV23" s="1368">
        <v>0</v>
      </c>
      <c r="AW23" s="1368">
        <v>9</v>
      </c>
      <c r="AX23" s="1368">
        <v>1</v>
      </c>
      <c r="AY23" s="1368">
        <v>0</v>
      </c>
      <c r="AZ23" s="636">
        <f>ハダニ野帳!$Z$150</f>
        <v>0</v>
      </c>
      <c r="BA23" s="490" t="s">
        <v>233</v>
      </c>
      <c r="BB23" s="491" t="s">
        <v>227</v>
      </c>
    </row>
    <row r="24" spans="1:54" ht="13.5" customHeight="1" thickBot="1">
      <c r="A24" s="403"/>
      <c r="B24" s="409"/>
      <c r="C24" s="491" t="s">
        <v>228</v>
      </c>
      <c r="D24" s="627" t="e">
        <f t="shared" ca="1" si="0"/>
        <v>#N/A</v>
      </c>
      <c r="E24" s="1609">
        <f t="shared" ca="1" si="2"/>
        <v>1.4</v>
      </c>
      <c r="F24" s="475"/>
      <c r="G24" s="475"/>
      <c r="H24" s="476">
        <f t="shared" ca="1" si="1"/>
        <v>2.6</v>
      </c>
      <c r="I24" s="615"/>
      <c r="J24" s="600"/>
      <c r="K24" s="508"/>
      <c r="L24" s="491" t="s">
        <v>228</v>
      </c>
      <c r="M24" s="628">
        <v>17</v>
      </c>
      <c r="N24" s="628">
        <v>3</v>
      </c>
      <c r="O24" s="628">
        <v>30</v>
      </c>
      <c r="P24" s="628">
        <v>6</v>
      </c>
      <c r="Q24" s="628">
        <v>0</v>
      </c>
      <c r="R24" s="628">
        <v>66</v>
      </c>
      <c r="S24" s="628">
        <v>4</v>
      </c>
      <c r="T24" s="628">
        <v>0</v>
      </c>
      <c r="U24" s="628">
        <v>15</v>
      </c>
      <c r="V24" s="628">
        <v>14</v>
      </c>
      <c r="W24" s="628">
        <v>0</v>
      </c>
      <c r="X24" s="628">
        <v>2</v>
      </c>
      <c r="Y24" s="628">
        <v>4</v>
      </c>
      <c r="Z24" s="629">
        <v>1</v>
      </c>
      <c r="AA24" s="565">
        <v>6</v>
      </c>
      <c r="AB24" s="565">
        <v>6.7</v>
      </c>
      <c r="AC24" s="565">
        <v>1</v>
      </c>
      <c r="AD24" s="565">
        <v>1</v>
      </c>
      <c r="AE24" s="565">
        <v>0</v>
      </c>
      <c r="AF24" s="565">
        <v>3</v>
      </c>
      <c r="AG24" s="749">
        <v>1</v>
      </c>
      <c r="AH24" s="565">
        <v>1</v>
      </c>
      <c r="AI24" s="565">
        <v>1</v>
      </c>
      <c r="AJ24" s="564">
        <v>0</v>
      </c>
      <c r="AK24" s="565">
        <v>5</v>
      </c>
      <c r="AL24" s="630">
        <v>2</v>
      </c>
      <c r="AM24" s="631">
        <v>0</v>
      </c>
      <c r="AN24" s="630">
        <v>0</v>
      </c>
      <c r="AO24" s="630">
        <v>0</v>
      </c>
      <c r="AP24" s="620">
        <v>0</v>
      </c>
      <c r="AQ24" s="621">
        <v>0</v>
      </c>
      <c r="AR24" s="921">
        <v>0</v>
      </c>
      <c r="AS24" s="927">
        <v>1</v>
      </c>
      <c r="AT24" s="1074">
        <v>0</v>
      </c>
      <c r="AU24" s="1371">
        <v>1</v>
      </c>
      <c r="AV24" s="1371">
        <v>1</v>
      </c>
      <c r="AW24" s="1371">
        <v>11</v>
      </c>
      <c r="AX24" s="1371">
        <v>0</v>
      </c>
      <c r="AY24" s="1371">
        <v>0</v>
      </c>
      <c r="AZ24" s="915" t="e">
        <f>ハダニ野帳!$AV$150</f>
        <v>#N/A</v>
      </c>
      <c r="BA24" s="508"/>
      <c r="BB24" s="491" t="s">
        <v>228</v>
      </c>
    </row>
    <row r="25" spans="1:54" ht="13.5" customHeight="1">
      <c r="A25" s="403"/>
      <c r="B25" s="407"/>
      <c r="C25" s="484" t="s">
        <v>225</v>
      </c>
      <c r="D25" s="1777" t="e">
        <f t="shared" ca="1" si="0"/>
        <v>#N/A</v>
      </c>
      <c r="E25" s="779">
        <f t="shared" ca="1" si="2"/>
        <v>1.9</v>
      </c>
      <c r="F25" s="453"/>
      <c r="G25" s="453"/>
      <c r="H25" s="454">
        <f t="shared" ca="1" si="1"/>
        <v>2.6</v>
      </c>
      <c r="I25" s="607"/>
      <c r="J25" s="600"/>
      <c r="K25" s="434"/>
      <c r="L25" s="484" t="s">
        <v>225</v>
      </c>
      <c r="M25" s="601">
        <v>0</v>
      </c>
      <c r="N25" s="601">
        <v>6</v>
      </c>
      <c r="O25" s="601">
        <v>20</v>
      </c>
      <c r="P25" s="601">
        <v>0</v>
      </c>
      <c r="Q25" s="601">
        <v>10</v>
      </c>
      <c r="R25" s="601">
        <v>28</v>
      </c>
      <c r="S25" s="601">
        <v>0</v>
      </c>
      <c r="T25" s="601">
        <v>0</v>
      </c>
      <c r="U25" s="601">
        <v>2</v>
      </c>
      <c r="V25" s="601">
        <v>6</v>
      </c>
      <c r="W25" s="601">
        <v>4</v>
      </c>
      <c r="X25" s="601">
        <v>16</v>
      </c>
      <c r="Y25" s="601">
        <v>4</v>
      </c>
      <c r="Z25" s="602">
        <v>0</v>
      </c>
      <c r="AA25" s="603">
        <v>8</v>
      </c>
      <c r="AB25" s="603">
        <v>0.8</v>
      </c>
      <c r="AC25" s="603">
        <v>0</v>
      </c>
      <c r="AD25" s="603">
        <v>0</v>
      </c>
      <c r="AE25" s="603">
        <v>2</v>
      </c>
      <c r="AF25" s="603">
        <v>15</v>
      </c>
      <c r="AG25" s="745">
        <v>0</v>
      </c>
      <c r="AH25" s="603">
        <v>0</v>
      </c>
      <c r="AI25" s="603">
        <v>0.06</v>
      </c>
      <c r="AJ25" s="604">
        <v>0</v>
      </c>
      <c r="AK25" s="603">
        <v>4</v>
      </c>
      <c r="AL25" s="605">
        <v>0</v>
      </c>
      <c r="AM25" s="606">
        <v>0</v>
      </c>
      <c r="AN25" s="605">
        <v>0</v>
      </c>
      <c r="AO25" s="605">
        <v>0</v>
      </c>
      <c r="AP25" s="625">
        <v>2</v>
      </c>
      <c r="AQ25" s="626">
        <v>0</v>
      </c>
      <c r="AR25" s="917">
        <v>2</v>
      </c>
      <c r="AS25" s="923">
        <v>0</v>
      </c>
      <c r="AT25" s="1070">
        <v>2</v>
      </c>
      <c r="AU25" s="1367">
        <v>0</v>
      </c>
      <c r="AV25" s="1367">
        <v>2</v>
      </c>
      <c r="AW25" s="1367">
        <v>2</v>
      </c>
      <c r="AX25" s="1367">
        <v>5</v>
      </c>
      <c r="AY25" s="1367">
        <v>4</v>
      </c>
      <c r="AZ25" s="635" t="e">
        <f>ハダニ野帳!$D$179</f>
        <v>#N/A</v>
      </c>
      <c r="BA25" s="434"/>
      <c r="BB25" s="484" t="s">
        <v>225</v>
      </c>
    </row>
    <row r="26" spans="1:54" ht="13.5" customHeight="1">
      <c r="A26" s="403"/>
      <c r="B26" s="408" t="s">
        <v>234</v>
      </c>
      <c r="C26" s="491" t="s">
        <v>227</v>
      </c>
      <c r="D26" s="633" t="e">
        <f t="shared" ca="1" si="0"/>
        <v>#N/A</v>
      </c>
      <c r="E26" s="779">
        <f t="shared" ca="1" si="2"/>
        <v>1.5</v>
      </c>
      <c r="F26" s="464"/>
      <c r="G26" s="464"/>
      <c r="H26" s="465">
        <f t="shared" ca="1" si="1"/>
        <v>1.8</v>
      </c>
      <c r="I26" s="607"/>
      <c r="J26" s="600"/>
      <c r="K26" s="490" t="s">
        <v>234</v>
      </c>
      <c r="L26" s="491" t="s">
        <v>227</v>
      </c>
      <c r="M26" s="608">
        <v>0</v>
      </c>
      <c r="N26" s="608">
        <v>6</v>
      </c>
      <c r="O26" s="608">
        <v>3</v>
      </c>
      <c r="P26" s="608">
        <v>0</v>
      </c>
      <c r="Q26" s="608">
        <v>4</v>
      </c>
      <c r="R26" s="608">
        <v>2</v>
      </c>
      <c r="S26" s="608">
        <v>0</v>
      </c>
      <c r="T26" s="608">
        <v>4.3</v>
      </c>
      <c r="U26" s="608">
        <v>7</v>
      </c>
      <c r="V26" s="608">
        <v>12</v>
      </c>
      <c r="W26" s="608">
        <v>0</v>
      </c>
      <c r="X26" s="608">
        <v>36</v>
      </c>
      <c r="Y26" s="608">
        <v>1</v>
      </c>
      <c r="Z26" s="609">
        <v>0</v>
      </c>
      <c r="AA26" s="562">
        <v>5</v>
      </c>
      <c r="AB26" s="562">
        <v>1.6</v>
      </c>
      <c r="AC26" s="562">
        <v>1</v>
      </c>
      <c r="AD26" s="562">
        <v>11</v>
      </c>
      <c r="AE26" s="562">
        <v>0</v>
      </c>
      <c r="AF26" s="562">
        <v>12</v>
      </c>
      <c r="AG26" s="746">
        <v>1</v>
      </c>
      <c r="AH26" s="562">
        <v>1</v>
      </c>
      <c r="AI26" s="562">
        <v>0.6</v>
      </c>
      <c r="AJ26" s="561">
        <v>0.5</v>
      </c>
      <c r="AK26" s="562">
        <v>8</v>
      </c>
      <c r="AL26" s="610">
        <v>1</v>
      </c>
      <c r="AM26" s="611">
        <v>0</v>
      </c>
      <c r="AN26" s="610">
        <v>1</v>
      </c>
      <c r="AO26" s="610">
        <v>1</v>
      </c>
      <c r="AP26" s="610">
        <v>5</v>
      </c>
      <c r="AQ26" s="611">
        <v>0</v>
      </c>
      <c r="AR26" s="918">
        <v>1</v>
      </c>
      <c r="AS26" s="924">
        <v>0</v>
      </c>
      <c r="AT26" s="1071">
        <v>0</v>
      </c>
      <c r="AU26" s="1368">
        <v>0</v>
      </c>
      <c r="AV26" s="1368">
        <v>2</v>
      </c>
      <c r="AW26" s="1368">
        <v>0</v>
      </c>
      <c r="AX26" s="1368">
        <v>1</v>
      </c>
      <c r="AY26" s="1368">
        <v>6</v>
      </c>
      <c r="AZ26" s="636" t="e">
        <f>ハダニ野帳!$Z$179</f>
        <v>#N/A</v>
      </c>
      <c r="BA26" s="490" t="s">
        <v>234</v>
      </c>
      <c r="BB26" s="491" t="s">
        <v>227</v>
      </c>
    </row>
    <row r="27" spans="1:54" ht="13.5" customHeight="1" thickBot="1">
      <c r="A27" s="403"/>
      <c r="B27" s="409"/>
      <c r="C27" s="509" t="s">
        <v>228</v>
      </c>
      <c r="D27" s="627" t="e">
        <f t="shared" ca="1" si="0"/>
        <v>#N/A</v>
      </c>
      <c r="E27" s="1609">
        <f t="shared" ca="1" si="2"/>
        <v>3.8</v>
      </c>
      <c r="F27" s="475"/>
      <c r="G27" s="475"/>
      <c r="H27" s="476">
        <f t="shared" ca="1" si="1"/>
        <v>5.4</v>
      </c>
      <c r="I27" s="615"/>
      <c r="J27" s="600"/>
      <c r="K27" s="508"/>
      <c r="L27" s="491" t="s">
        <v>228</v>
      </c>
      <c r="M27" s="616">
        <v>0</v>
      </c>
      <c r="N27" s="616">
        <v>5</v>
      </c>
      <c r="O27" s="616">
        <v>0</v>
      </c>
      <c r="P27" s="616">
        <v>2</v>
      </c>
      <c r="Q27" s="616">
        <v>0</v>
      </c>
      <c r="R27" s="616">
        <v>0</v>
      </c>
      <c r="S27" s="616">
        <v>0</v>
      </c>
      <c r="T27" s="616">
        <v>4</v>
      </c>
      <c r="U27" s="616">
        <v>2</v>
      </c>
      <c r="V27" s="616">
        <v>6</v>
      </c>
      <c r="W27" s="616">
        <v>0</v>
      </c>
      <c r="X27" s="616">
        <v>12</v>
      </c>
      <c r="Y27" s="616">
        <v>0</v>
      </c>
      <c r="Z27" s="617">
        <v>6</v>
      </c>
      <c r="AA27" s="618">
        <v>7</v>
      </c>
      <c r="AB27" s="618">
        <v>0</v>
      </c>
      <c r="AC27" s="618">
        <v>2</v>
      </c>
      <c r="AD27" s="618">
        <v>18</v>
      </c>
      <c r="AE27" s="618">
        <v>0</v>
      </c>
      <c r="AF27" s="618">
        <v>14</v>
      </c>
      <c r="AG27" s="747">
        <v>3</v>
      </c>
      <c r="AH27" s="618">
        <v>2</v>
      </c>
      <c r="AI27" s="618">
        <f>0</f>
        <v>0</v>
      </c>
      <c r="AJ27" s="619">
        <v>0</v>
      </c>
      <c r="AK27" s="618">
        <v>4</v>
      </c>
      <c r="AL27" s="620">
        <v>1</v>
      </c>
      <c r="AM27" s="621">
        <v>0</v>
      </c>
      <c r="AN27" s="620">
        <v>2</v>
      </c>
      <c r="AO27" s="620">
        <v>0</v>
      </c>
      <c r="AP27" s="630">
        <v>10</v>
      </c>
      <c r="AQ27" s="631">
        <v>0</v>
      </c>
      <c r="AR27" s="919">
        <v>1</v>
      </c>
      <c r="AS27" s="925">
        <v>0</v>
      </c>
      <c r="AT27" s="1072">
        <v>0</v>
      </c>
      <c r="AU27" s="1369">
        <v>2</v>
      </c>
      <c r="AV27" s="1369">
        <v>12</v>
      </c>
      <c r="AW27" s="1369">
        <v>0</v>
      </c>
      <c r="AX27" s="1369">
        <v>2</v>
      </c>
      <c r="AY27" s="1369">
        <v>11</v>
      </c>
      <c r="AZ27" s="637" t="e">
        <f>ハダニ野帳!$AV$179</f>
        <v>#N/A</v>
      </c>
      <c r="BA27" s="508"/>
      <c r="BB27" s="491" t="s">
        <v>228</v>
      </c>
    </row>
    <row r="28" spans="1:54" ht="13.5" customHeight="1">
      <c r="A28" s="403"/>
      <c r="B28" s="407"/>
      <c r="C28" s="515" t="s">
        <v>225</v>
      </c>
      <c r="D28" s="613" t="e">
        <f t="shared" ca="1" si="0"/>
        <v>#N/A</v>
      </c>
      <c r="E28" s="779">
        <f t="shared" ca="1" si="2"/>
        <v>4.0999999999999996</v>
      </c>
      <c r="F28" s="453"/>
      <c r="G28" s="453"/>
      <c r="H28" s="454">
        <f t="shared" ca="1" si="1"/>
        <v>4</v>
      </c>
      <c r="I28" s="607"/>
      <c r="J28" s="600"/>
      <c r="K28" s="434"/>
      <c r="L28" s="484" t="s">
        <v>225</v>
      </c>
      <c r="M28" s="623">
        <v>0</v>
      </c>
      <c r="N28" s="623">
        <v>4</v>
      </c>
      <c r="O28" s="623">
        <v>0</v>
      </c>
      <c r="P28" s="623">
        <v>8</v>
      </c>
      <c r="Q28" s="623">
        <v>28</v>
      </c>
      <c r="R28" s="623">
        <v>0</v>
      </c>
      <c r="S28" s="623">
        <v>0</v>
      </c>
      <c r="T28" s="623">
        <v>8</v>
      </c>
      <c r="U28" s="623">
        <v>10</v>
      </c>
      <c r="V28" s="623">
        <v>25.5</v>
      </c>
      <c r="W28" s="623">
        <v>2</v>
      </c>
      <c r="X28" s="623">
        <v>8</v>
      </c>
      <c r="Y28" s="623">
        <v>4</v>
      </c>
      <c r="Z28" s="624">
        <v>11.7</v>
      </c>
      <c r="AA28" s="559">
        <v>2</v>
      </c>
      <c r="AB28" s="559">
        <v>1</v>
      </c>
      <c r="AC28" s="559">
        <v>0</v>
      </c>
      <c r="AD28" s="559">
        <v>17</v>
      </c>
      <c r="AE28" s="559">
        <v>4</v>
      </c>
      <c r="AF28" s="559">
        <v>6</v>
      </c>
      <c r="AG28" s="748">
        <v>6</v>
      </c>
      <c r="AH28" s="559">
        <v>3</v>
      </c>
      <c r="AI28" s="559">
        <f>1</f>
        <v>1</v>
      </c>
      <c r="AJ28" s="558">
        <v>0.96</v>
      </c>
      <c r="AK28" s="559">
        <v>8</v>
      </c>
      <c r="AL28" s="625">
        <f>(1+10)/2</f>
        <v>5.5</v>
      </c>
      <c r="AM28" s="626">
        <v>0</v>
      </c>
      <c r="AN28" s="625">
        <v>0</v>
      </c>
      <c r="AO28" s="625">
        <v>0</v>
      </c>
      <c r="AP28" s="605">
        <v>18</v>
      </c>
      <c r="AQ28" s="606">
        <v>0</v>
      </c>
      <c r="AR28" s="920">
        <v>0</v>
      </c>
      <c r="AS28" s="926">
        <v>1</v>
      </c>
      <c r="AT28" s="1073">
        <v>2</v>
      </c>
      <c r="AU28" s="1370">
        <v>3</v>
      </c>
      <c r="AV28" s="1370">
        <v>10</v>
      </c>
      <c r="AW28" s="1370">
        <v>3</v>
      </c>
      <c r="AX28" s="1370">
        <v>1</v>
      </c>
      <c r="AY28" s="1370">
        <v>3</v>
      </c>
      <c r="AZ28" s="914" t="e">
        <f>ハダニ野帳!$D$208</f>
        <v>#N/A</v>
      </c>
      <c r="BA28" s="434"/>
      <c r="BB28" s="484" t="s">
        <v>225</v>
      </c>
    </row>
    <row r="29" spans="1:54" ht="13.5" customHeight="1">
      <c r="A29" s="403"/>
      <c r="B29" s="408" t="s">
        <v>235</v>
      </c>
      <c r="C29" s="491" t="s">
        <v>227</v>
      </c>
      <c r="D29" s="633" t="e">
        <f t="shared" ca="1" si="0"/>
        <v>#N/A</v>
      </c>
      <c r="E29" s="779">
        <f t="shared" ca="1" si="2"/>
        <v>6.1</v>
      </c>
      <c r="F29" s="464"/>
      <c r="G29" s="464"/>
      <c r="H29" s="465">
        <f t="shared" ca="1" si="1"/>
        <v>3.4</v>
      </c>
      <c r="I29" s="607"/>
      <c r="J29" s="600"/>
      <c r="K29" s="490" t="s">
        <v>235</v>
      </c>
      <c r="L29" s="491" t="s">
        <v>227</v>
      </c>
      <c r="M29" s="608">
        <v>0</v>
      </c>
      <c r="N29" s="608">
        <v>7</v>
      </c>
      <c r="O29" s="608">
        <v>0</v>
      </c>
      <c r="P29" s="608">
        <v>36</v>
      </c>
      <c r="Q29" s="608">
        <v>58</v>
      </c>
      <c r="R29" s="608">
        <v>2</v>
      </c>
      <c r="S29" s="608">
        <v>0</v>
      </c>
      <c r="T29" s="608">
        <v>7.7</v>
      </c>
      <c r="U29" s="608">
        <v>12</v>
      </c>
      <c r="V29" s="608">
        <v>3.9</v>
      </c>
      <c r="W29" s="608">
        <v>0</v>
      </c>
      <c r="X29" s="608">
        <v>8</v>
      </c>
      <c r="Y29" s="608">
        <v>8</v>
      </c>
      <c r="Z29" s="609">
        <v>16</v>
      </c>
      <c r="AA29" s="562">
        <v>1</v>
      </c>
      <c r="AB29" s="562">
        <v>3</v>
      </c>
      <c r="AC29" s="562">
        <v>0</v>
      </c>
      <c r="AD29" s="562">
        <v>4</v>
      </c>
      <c r="AE29" s="562">
        <v>18</v>
      </c>
      <c r="AF29" s="562">
        <v>6</v>
      </c>
      <c r="AG29" s="746">
        <v>9</v>
      </c>
      <c r="AH29" s="562">
        <v>13</v>
      </c>
      <c r="AI29" s="562">
        <f>1/200*100</f>
        <v>0.5</v>
      </c>
      <c r="AJ29" s="561">
        <v>1</v>
      </c>
      <c r="AK29" s="562">
        <v>17</v>
      </c>
      <c r="AL29" s="610">
        <v>14.5</v>
      </c>
      <c r="AM29" s="611">
        <v>1</v>
      </c>
      <c r="AN29" s="610">
        <v>1</v>
      </c>
      <c r="AO29" s="610">
        <v>0</v>
      </c>
      <c r="AP29" s="610">
        <v>30</v>
      </c>
      <c r="AQ29" s="611">
        <v>0</v>
      </c>
      <c r="AR29" s="918">
        <v>0</v>
      </c>
      <c r="AS29" s="924">
        <v>0</v>
      </c>
      <c r="AT29" s="1071">
        <v>14</v>
      </c>
      <c r="AU29" s="1368">
        <v>3</v>
      </c>
      <c r="AV29" s="1368">
        <v>1</v>
      </c>
      <c r="AW29" s="1368">
        <v>6</v>
      </c>
      <c r="AX29" s="1368">
        <v>2</v>
      </c>
      <c r="AY29" s="1368">
        <v>5</v>
      </c>
      <c r="AZ29" s="636" t="e">
        <f>ハダニ野帳!$Z$208</f>
        <v>#N/A</v>
      </c>
      <c r="BA29" s="490" t="s">
        <v>235</v>
      </c>
      <c r="BB29" s="491" t="s">
        <v>227</v>
      </c>
    </row>
    <row r="30" spans="1:54" ht="13.5" customHeight="1" thickBot="1">
      <c r="A30" s="403"/>
      <c r="B30" s="409"/>
      <c r="C30" s="491" t="s">
        <v>228</v>
      </c>
      <c r="D30" s="633" t="e">
        <f t="shared" ca="1" si="0"/>
        <v>#N/A</v>
      </c>
      <c r="E30" s="1609">
        <f t="shared" ca="1" si="2"/>
        <v>7.5</v>
      </c>
      <c r="F30" s="475"/>
      <c r="G30" s="475"/>
      <c r="H30" s="476">
        <f t="shared" ca="1" si="1"/>
        <v>7</v>
      </c>
      <c r="I30" s="615"/>
      <c r="J30" s="600"/>
      <c r="K30" s="508"/>
      <c r="L30" s="491" t="s">
        <v>228</v>
      </c>
      <c r="M30" s="628">
        <v>0</v>
      </c>
      <c r="N30" s="628">
        <v>0</v>
      </c>
      <c r="O30" s="628">
        <v>0</v>
      </c>
      <c r="P30" s="628">
        <v>18</v>
      </c>
      <c r="Q30" s="628">
        <v>22</v>
      </c>
      <c r="R30" s="628">
        <v>8</v>
      </c>
      <c r="S30" s="628">
        <v>0</v>
      </c>
      <c r="T30" s="628">
        <v>4</v>
      </c>
      <c r="U30" s="628">
        <v>25</v>
      </c>
      <c r="V30" s="628">
        <v>6</v>
      </c>
      <c r="W30" s="628">
        <v>4</v>
      </c>
      <c r="X30" s="628">
        <v>8</v>
      </c>
      <c r="Y30" s="628">
        <v>4</v>
      </c>
      <c r="Z30" s="629">
        <v>23</v>
      </c>
      <c r="AA30" s="565">
        <v>1</v>
      </c>
      <c r="AB30" s="565">
        <v>15</v>
      </c>
      <c r="AC30" s="565">
        <v>1</v>
      </c>
      <c r="AD30" s="565">
        <v>0</v>
      </c>
      <c r="AE30" s="565">
        <v>12</v>
      </c>
      <c r="AF30" s="565">
        <v>8</v>
      </c>
      <c r="AG30" s="749">
        <v>8</v>
      </c>
      <c r="AH30" s="565">
        <v>1</v>
      </c>
      <c r="AI30" s="565">
        <v>0</v>
      </c>
      <c r="AJ30" s="564">
        <v>2</v>
      </c>
      <c r="AK30" s="565">
        <v>16</v>
      </c>
      <c r="AL30" s="630">
        <v>1</v>
      </c>
      <c r="AM30" s="631">
        <f>21/200*100</f>
        <v>10.5</v>
      </c>
      <c r="AN30" s="630">
        <v>0</v>
      </c>
      <c r="AO30" s="630">
        <v>0</v>
      </c>
      <c r="AP30" s="620">
        <v>12</v>
      </c>
      <c r="AQ30" s="621">
        <v>1</v>
      </c>
      <c r="AR30" s="921">
        <v>7</v>
      </c>
      <c r="AS30" s="927">
        <v>1</v>
      </c>
      <c r="AT30" s="1074">
        <v>19</v>
      </c>
      <c r="AU30" s="1371">
        <v>5</v>
      </c>
      <c r="AV30" s="1371">
        <v>7</v>
      </c>
      <c r="AW30" s="1371">
        <v>2</v>
      </c>
      <c r="AX30" s="1371">
        <v>10</v>
      </c>
      <c r="AY30" s="1371">
        <v>11</v>
      </c>
      <c r="AZ30" s="915" t="e">
        <f>ハダニ野帳!$AV$208</f>
        <v>#N/A</v>
      </c>
      <c r="BA30" s="508"/>
      <c r="BB30" s="491" t="s">
        <v>228</v>
      </c>
    </row>
    <row r="31" spans="1:54" ht="13.5" customHeight="1">
      <c r="A31" s="403"/>
      <c r="B31" s="407"/>
      <c r="C31" s="484" t="s">
        <v>225</v>
      </c>
      <c r="D31" s="622" t="e">
        <f t="shared" ca="1" si="0"/>
        <v>#N/A</v>
      </c>
      <c r="E31" s="779">
        <f t="shared" ca="1" si="2"/>
        <v>3.6</v>
      </c>
      <c r="F31" s="453"/>
      <c r="G31" s="453"/>
      <c r="H31" s="454">
        <f t="shared" ca="1" si="1"/>
        <v>3.4</v>
      </c>
      <c r="I31" s="607"/>
      <c r="J31" s="600"/>
      <c r="K31" s="434"/>
      <c r="L31" s="484" t="s">
        <v>225</v>
      </c>
      <c r="M31" s="601">
        <v>0</v>
      </c>
      <c r="N31" s="601">
        <v>12</v>
      </c>
      <c r="O31" s="601">
        <v>0</v>
      </c>
      <c r="P31" s="601">
        <v>6</v>
      </c>
      <c r="Q31" s="601">
        <v>20</v>
      </c>
      <c r="R31" s="601">
        <v>20</v>
      </c>
      <c r="S31" s="601">
        <v>0</v>
      </c>
      <c r="T31" s="601">
        <v>2</v>
      </c>
      <c r="U31" s="601">
        <v>28</v>
      </c>
      <c r="V31" s="601">
        <v>6</v>
      </c>
      <c r="W31" s="601">
        <v>14</v>
      </c>
      <c r="X31" s="601">
        <v>6</v>
      </c>
      <c r="Y31" s="601">
        <v>4</v>
      </c>
      <c r="Z31" s="602">
        <v>0</v>
      </c>
      <c r="AA31" s="603">
        <v>0</v>
      </c>
      <c r="AB31" s="603">
        <v>4</v>
      </c>
      <c r="AC31" s="603">
        <v>1</v>
      </c>
      <c r="AD31" s="603">
        <v>2</v>
      </c>
      <c r="AE31" s="603">
        <v>18</v>
      </c>
      <c r="AF31" s="603">
        <v>0</v>
      </c>
      <c r="AG31" s="745">
        <v>4</v>
      </c>
      <c r="AH31" s="603">
        <v>0</v>
      </c>
      <c r="AI31" s="603">
        <f>20/200*100</f>
        <v>10</v>
      </c>
      <c r="AJ31" s="604">
        <v>3</v>
      </c>
      <c r="AK31" s="603">
        <v>3</v>
      </c>
      <c r="AL31" s="605">
        <v>1</v>
      </c>
      <c r="AM31" s="606">
        <v>4</v>
      </c>
      <c r="AN31" s="605">
        <v>0</v>
      </c>
      <c r="AO31" s="605">
        <v>1</v>
      </c>
      <c r="AP31" s="625">
        <v>2</v>
      </c>
      <c r="AQ31" s="626">
        <v>2</v>
      </c>
      <c r="AR31" s="917">
        <v>0</v>
      </c>
      <c r="AS31" s="923">
        <v>1</v>
      </c>
      <c r="AT31" s="1070">
        <v>14</v>
      </c>
      <c r="AU31" s="1367">
        <v>0</v>
      </c>
      <c r="AV31" s="1367">
        <v>3</v>
      </c>
      <c r="AW31" s="1367">
        <v>2</v>
      </c>
      <c r="AX31" s="1367">
        <v>11</v>
      </c>
      <c r="AY31" s="1367">
        <v>1</v>
      </c>
      <c r="AZ31" s="635" t="e">
        <f>ハダニ野帳!$D$237</f>
        <v>#N/A</v>
      </c>
      <c r="BA31" s="434"/>
      <c r="BB31" s="484" t="s">
        <v>225</v>
      </c>
    </row>
    <row r="32" spans="1:54" ht="13.5" customHeight="1">
      <c r="A32" s="403"/>
      <c r="B32" s="408" t="s">
        <v>236</v>
      </c>
      <c r="C32" s="491" t="s">
        <v>227</v>
      </c>
      <c r="D32" s="632" t="e">
        <f t="shared" ca="1" si="0"/>
        <v>#N/A</v>
      </c>
      <c r="E32" s="779">
        <f t="shared" ca="1" si="2"/>
        <v>1.9</v>
      </c>
      <c r="F32" s="464"/>
      <c r="G32" s="464"/>
      <c r="H32" s="465">
        <f t="shared" ca="1" si="1"/>
        <v>0.4</v>
      </c>
      <c r="I32" s="607"/>
      <c r="J32" s="600"/>
      <c r="K32" s="490" t="s">
        <v>236</v>
      </c>
      <c r="L32" s="491" t="s">
        <v>227</v>
      </c>
      <c r="M32" s="608">
        <v>0</v>
      </c>
      <c r="N32" s="608">
        <v>24</v>
      </c>
      <c r="O32" s="608">
        <v>0</v>
      </c>
      <c r="P32" s="608">
        <v>8</v>
      </c>
      <c r="Q32" s="608">
        <v>24</v>
      </c>
      <c r="R32" s="608">
        <v>40</v>
      </c>
      <c r="S32" s="608">
        <v>3</v>
      </c>
      <c r="T32" s="608">
        <v>6</v>
      </c>
      <c r="U32" s="608">
        <v>13</v>
      </c>
      <c r="V32" s="608">
        <v>4</v>
      </c>
      <c r="W32" s="608">
        <v>26</v>
      </c>
      <c r="X32" s="608">
        <v>6</v>
      </c>
      <c r="Y32" s="608">
        <v>2</v>
      </c>
      <c r="Z32" s="609">
        <v>0</v>
      </c>
      <c r="AA32" s="562">
        <v>0</v>
      </c>
      <c r="AB32" s="562">
        <v>1</v>
      </c>
      <c r="AC32" s="562">
        <v>1</v>
      </c>
      <c r="AD32" s="562">
        <v>1</v>
      </c>
      <c r="AE32" s="562">
        <v>14</v>
      </c>
      <c r="AF32" s="562">
        <v>2</v>
      </c>
      <c r="AG32" s="746">
        <v>0</v>
      </c>
      <c r="AH32" s="562">
        <v>1</v>
      </c>
      <c r="AI32" s="562">
        <f>7/100*100</f>
        <v>7.0000000000000009</v>
      </c>
      <c r="AJ32" s="561">
        <v>2</v>
      </c>
      <c r="AK32" s="562">
        <v>2</v>
      </c>
      <c r="AL32" s="610">
        <v>0.5</v>
      </c>
      <c r="AM32" s="611">
        <v>2</v>
      </c>
      <c r="AN32" s="610">
        <v>3</v>
      </c>
      <c r="AO32" s="610">
        <v>3</v>
      </c>
      <c r="AP32" s="610">
        <v>0</v>
      </c>
      <c r="AQ32" s="611">
        <v>6</v>
      </c>
      <c r="AR32" s="918">
        <v>0</v>
      </c>
      <c r="AS32" s="924">
        <v>4</v>
      </c>
      <c r="AT32" s="1071">
        <v>7</v>
      </c>
      <c r="AU32" s="1368">
        <v>0</v>
      </c>
      <c r="AV32" s="1368">
        <v>0</v>
      </c>
      <c r="AW32" s="1368">
        <v>0</v>
      </c>
      <c r="AX32" s="1368">
        <v>1</v>
      </c>
      <c r="AY32" s="1368">
        <v>1</v>
      </c>
      <c r="AZ32" s="636" t="e">
        <f>ハダニ野帳!$Z$237</f>
        <v>#N/A</v>
      </c>
      <c r="BA32" s="490" t="s">
        <v>236</v>
      </c>
      <c r="BB32" s="491" t="s">
        <v>227</v>
      </c>
    </row>
    <row r="33" spans="1:54" ht="13.5" customHeight="1" thickBot="1">
      <c r="A33" s="403"/>
      <c r="B33" s="409"/>
      <c r="C33" s="612" t="s">
        <v>228</v>
      </c>
      <c r="D33" s="633" t="e">
        <f t="shared" ca="1" si="0"/>
        <v>#N/A</v>
      </c>
      <c r="E33" s="1607">
        <f t="shared" ca="1" si="2"/>
        <v>1.2</v>
      </c>
      <c r="F33" s="475"/>
      <c r="G33" s="475"/>
      <c r="H33" s="476">
        <f t="shared" ca="1" si="1"/>
        <v>0.8</v>
      </c>
      <c r="I33" s="615"/>
      <c r="J33" s="600"/>
      <c r="K33" s="508"/>
      <c r="L33" s="491" t="s">
        <v>228</v>
      </c>
      <c r="M33" s="616">
        <v>0</v>
      </c>
      <c r="N33" s="616">
        <v>36</v>
      </c>
      <c r="O33" s="616">
        <v>0</v>
      </c>
      <c r="P33" s="616">
        <v>4</v>
      </c>
      <c r="Q33" s="616">
        <v>28</v>
      </c>
      <c r="R33" s="616">
        <v>66</v>
      </c>
      <c r="S33" s="616">
        <v>14</v>
      </c>
      <c r="T33" s="616">
        <v>6</v>
      </c>
      <c r="U33" s="616">
        <v>10</v>
      </c>
      <c r="V33" s="616">
        <v>0</v>
      </c>
      <c r="W33" s="616">
        <v>8</v>
      </c>
      <c r="X33" s="616">
        <v>0</v>
      </c>
      <c r="Y33" s="616">
        <v>0</v>
      </c>
      <c r="Z33" s="617">
        <v>4</v>
      </c>
      <c r="AA33" s="618">
        <v>0</v>
      </c>
      <c r="AB33" s="618">
        <v>3</v>
      </c>
      <c r="AC33" s="618">
        <v>10</v>
      </c>
      <c r="AD33" s="618">
        <v>0</v>
      </c>
      <c r="AE33" s="618">
        <v>4</v>
      </c>
      <c r="AF33" s="618">
        <v>0</v>
      </c>
      <c r="AG33" s="747">
        <v>0</v>
      </c>
      <c r="AH33" s="618">
        <v>0</v>
      </c>
      <c r="AI33" s="618">
        <v>44.5</v>
      </c>
      <c r="AJ33" s="619">
        <v>1.5</v>
      </c>
      <c r="AK33" s="618">
        <v>0</v>
      </c>
      <c r="AL33" s="620">
        <v>0.5</v>
      </c>
      <c r="AM33" s="621">
        <v>0</v>
      </c>
      <c r="AN33" s="620">
        <v>12</v>
      </c>
      <c r="AO33" s="620">
        <v>2</v>
      </c>
      <c r="AP33" s="620">
        <v>0</v>
      </c>
      <c r="AQ33" s="621">
        <v>8</v>
      </c>
      <c r="AR33" s="921">
        <v>0</v>
      </c>
      <c r="AS33" s="927">
        <v>0</v>
      </c>
      <c r="AT33" s="1074">
        <v>0</v>
      </c>
      <c r="AU33" s="1371">
        <v>3</v>
      </c>
      <c r="AV33" s="1371">
        <v>0</v>
      </c>
      <c r="AW33" s="1371">
        <v>0</v>
      </c>
      <c r="AX33" s="1371">
        <v>0</v>
      </c>
      <c r="AY33" s="1371">
        <v>1</v>
      </c>
      <c r="AZ33" s="915" t="e">
        <f>ハダニ野帳!$AV$237</f>
        <v>#N/A</v>
      </c>
      <c r="BA33" s="508"/>
      <c r="BB33" s="491" t="s">
        <v>228</v>
      </c>
    </row>
    <row r="34" spans="1:54" ht="13.5" customHeight="1">
      <c r="A34" s="403"/>
      <c r="B34" s="407"/>
      <c r="C34" s="484" t="s">
        <v>225</v>
      </c>
      <c r="D34" s="622" t="e">
        <f t="shared" ca="1" si="0"/>
        <v>#N/A</v>
      </c>
      <c r="E34" s="1606">
        <f t="shared" ca="1" si="2"/>
        <v>3.2</v>
      </c>
      <c r="F34" s="453"/>
      <c r="G34" s="453"/>
      <c r="H34" s="454">
        <f t="shared" ca="1" si="1"/>
        <v>0.6</v>
      </c>
      <c r="I34" s="607"/>
      <c r="J34" s="600"/>
      <c r="K34" s="434"/>
      <c r="L34" s="484" t="s">
        <v>225</v>
      </c>
      <c r="M34" s="623">
        <v>0</v>
      </c>
      <c r="N34" s="623">
        <v>48</v>
      </c>
      <c r="O34" s="623">
        <v>0</v>
      </c>
      <c r="P34" s="623">
        <v>4</v>
      </c>
      <c r="Q34" s="623">
        <v>8</v>
      </c>
      <c r="R34" s="623">
        <v>62</v>
      </c>
      <c r="S34" s="623">
        <v>20</v>
      </c>
      <c r="T34" s="623">
        <v>6</v>
      </c>
      <c r="U34" s="623">
        <v>8</v>
      </c>
      <c r="V34" s="623">
        <v>4</v>
      </c>
      <c r="W34" s="623">
        <v>16</v>
      </c>
      <c r="X34" s="623">
        <v>0</v>
      </c>
      <c r="Y34" s="623">
        <v>0</v>
      </c>
      <c r="Z34" s="624">
        <v>0</v>
      </c>
      <c r="AA34" s="559">
        <v>7.1</v>
      </c>
      <c r="AB34" s="559">
        <v>0</v>
      </c>
      <c r="AC34" s="559">
        <v>1</v>
      </c>
      <c r="AD34" s="559">
        <v>0</v>
      </c>
      <c r="AE34" s="559">
        <v>0</v>
      </c>
      <c r="AF34" s="559">
        <v>0</v>
      </c>
      <c r="AG34" s="748">
        <v>1</v>
      </c>
      <c r="AH34" s="559">
        <v>1</v>
      </c>
      <c r="AI34" s="559">
        <f>(49+11)/2</f>
        <v>30</v>
      </c>
      <c r="AJ34" s="558">
        <v>0</v>
      </c>
      <c r="AK34" s="559">
        <v>2</v>
      </c>
      <c r="AL34" s="625">
        <v>0</v>
      </c>
      <c r="AM34" s="626">
        <v>1</v>
      </c>
      <c r="AN34" s="625">
        <v>17</v>
      </c>
      <c r="AO34" s="625">
        <v>2</v>
      </c>
      <c r="AP34" s="625">
        <v>0</v>
      </c>
      <c r="AQ34" s="626">
        <v>18</v>
      </c>
      <c r="AR34" s="917">
        <v>0</v>
      </c>
      <c r="AS34" s="923">
        <v>10</v>
      </c>
      <c r="AT34" s="1070">
        <v>1</v>
      </c>
      <c r="AU34" s="1367">
        <v>1</v>
      </c>
      <c r="AV34" s="1367">
        <v>0</v>
      </c>
      <c r="AW34" s="1367">
        <v>1</v>
      </c>
      <c r="AX34" s="1367">
        <v>0</v>
      </c>
      <c r="AY34" s="1367">
        <v>1</v>
      </c>
      <c r="AZ34" s="635" t="e">
        <f>ハダニ野帳!$D$266</f>
        <v>#N/A</v>
      </c>
      <c r="BA34" s="434"/>
      <c r="BB34" s="484" t="s">
        <v>225</v>
      </c>
    </row>
    <row r="35" spans="1:54" ht="13.5" customHeight="1">
      <c r="A35" s="403"/>
      <c r="B35" s="408" t="s">
        <v>237</v>
      </c>
      <c r="C35" s="491" t="s">
        <v>227</v>
      </c>
      <c r="D35" s="632" t="e">
        <f t="shared" ca="1" si="0"/>
        <v>#N/A</v>
      </c>
      <c r="E35" s="779">
        <f t="shared" ca="1" si="2"/>
        <v>8.5</v>
      </c>
      <c r="F35" s="464"/>
      <c r="G35" s="464"/>
      <c r="H35" s="465">
        <f t="shared" ca="1" si="1"/>
        <v>4.2</v>
      </c>
      <c r="I35" s="607"/>
      <c r="J35" s="600"/>
      <c r="K35" s="490" t="s">
        <v>237</v>
      </c>
      <c r="L35" s="491" t="s">
        <v>227</v>
      </c>
      <c r="M35" s="608">
        <v>0</v>
      </c>
      <c r="N35" s="608">
        <v>60</v>
      </c>
      <c r="O35" s="608">
        <v>1</v>
      </c>
      <c r="P35" s="608">
        <v>6</v>
      </c>
      <c r="Q35" s="608">
        <v>2</v>
      </c>
      <c r="R35" s="608">
        <v>22</v>
      </c>
      <c r="S35" s="608">
        <v>14</v>
      </c>
      <c r="T35" s="608">
        <v>6</v>
      </c>
      <c r="U35" s="608">
        <v>12</v>
      </c>
      <c r="V35" s="608">
        <v>2</v>
      </c>
      <c r="W35" s="608">
        <v>4</v>
      </c>
      <c r="X35" s="608">
        <v>0</v>
      </c>
      <c r="Y35" s="608">
        <v>0</v>
      </c>
      <c r="Z35" s="609">
        <v>0</v>
      </c>
      <c r="AA35" s="562">
        <v>4</v>
      </c>
      <c r="AB35" s="562">
        <v>3</v>
      </c>
      <c r="AC35" s="562">
        <v>0</v>
      </c>
      <c r="AD35" s="562">
        <v>2</v>
      </c>
      <c r="AE35" s="562">
        <v>2</v>
      </c>
      <c r="AF35" s="562">
        <v>0</v>
      </c>
      <c r="AG35" s="746">
        <v>0</v>
      </c>
      <c r="AH35" s="562">
        <v>0</v>
      </c>
      <c r="AI35" s="562">
        <v>24</v>
      </c>
      <c r="AJ35" s="561">
        <f>2/100</f>
        <v>0.02</v>
      </c>
      <c r="AK35" s="562">
        <v>2</v>
      </c>
      <c r="AL35" s="610">
        <v>0</v>
      </c>
      <c r="AM35" s="611">
        <v>1</v>
      </c>
      <c r="AN35" s="610">
        <v>26</v>
      </c>
      <c r="AO35" s="610">
        <v>0</v>
      </c>
      <c r="AP35" s="610">
        <v>1</v>
      </c>
      <c r="AQ35" s="611">
        <v>57</v>
      </c>
      <c r="AR35" s="918">
        <v>0</v>
      </c>
      <c r="AS35" s="924">
        <v>6</v>
      </c>
      <c r="AT35" s="1071">
        <v>0</v>
      </c>
      <c r="AU35" s="1368">
        <v>21</v>
      </c>
      <c r="AV35" s="1368">
        <v>0</v>
      </c>
      <c r="AW35" s="1368">
        <v>0</v>
      </c>
      <c r="AX35" s="1368">
        <v>0</v>
      </c>
      <c r="AY35" s="1368">
        <v>0</v>
      </c>
      <c r="AZ35" s="636" t="e">
        <f>ハダニ野帳!$Z$266</f>
        <v>#N/A</v>
      </c>
      <c r="BA35" s="490" t="s">
        <v>237</v>
      </c>
      <c r="BB35" s="491" t="s">
        <v>227</v>
      </c>
    </row>
    <row r="36" spans="1:54" ht="13.5" customHeight="1" thickBot="1">
      <c r="A36" s="403"/>
      <c r="B36" s="409"/>
      <c r="C36" s="491" t="s">
        <v>228</v>
      </c>
      <c r="D36" s="627" t="e">
        <f t="shared" ca="1" si="0"/>
        <v>#N/A</v>
      </c>
      <c r="E36" s="1609">
        <f t="shared" ca="1" si="2"/>
        <v>5.3</v>
      </c>
      <c r="F36" s="475"/>
      <c r="G36" s="475"/>
      <c r="H36" s="476">
        <f t="shared" ca="1" si="1"/>
        <v>3.8</v>
      </c>
      <c r="I36" s="615"/>
      <c r="J36" s="600"/>
      <c r="K36" s="508"/>
      <c r="L36" s="491" t="s">
        <v>228</v>
      </c>
      <c r="M36" s="628">
        <v>0</v>
      </c>
      <c r="N36" s="628">
        <v>57</v>
      </c>
      <c r="O36" s="628">
        <v>0</v>
      </c>
      <c r="P36" s="628">
        <v>0</v>
      </c>
      <c r="Q36" s="628">
        <v>0</v>
      </c>
      <c r="R36" s="628">
        <v>10</v>
      </c>
      <c r="S36" s="628">
        <v>19</v>
      </c>
      <c r="T36" s="628">
        <v>0</v>
      </c>
      <c r="U36" s="628">
        <v>4</v>
      </c>
      <c r="V36" s="628">
        <v>4</v>
      </c>
      <c r="W36" s="628">
        <v>12</v>
      </c>
      <c r="X36" s="628">
        <v>2</v>
      </c>
      <c r="Y36" s="628">
        <v>0</v>
      </c>
      <c r="Z36" s="629">
        <v>2</v>
      </c>
      <c r="AA36" s="565">
        <v>4</v>
      </c>
      <c r="AB36" s="565">
        <v>2</v>
      </c>
      <c r="AC36" s="565">
        <v>8</v>
      </c>
      <c r="AD36" s="565">
        <v>2</v>
      </c>
      <c r="AE36" s="565">
        <v>3</v>
      </c>
      <c r="AF36" s="565">
        <v>1</v>
      </c>
      <c r="AG36" s="749">
        <v>0</v>
      </c>
      <c r="AH36" s="565">
        <v>2</v>
      </c>
      <c r="AI36" s="565">
        <f>46.5/(6/5)</f>
        <v>38.75</v>
      </c>
      <c r="AJ36" s="564">
        <v>2</v>
      </c>
      <c r="AK36" s="565">
        <v>2</v>
      </c>
      <c r="AL36" s="630">
        <v>2</v>
      </c>
      <c r="AM36" s="631">
        <v>1</v>
      </c>
      <c r="AN36" s="630">
        <v>8</v>
      </c>
      <c r="AO36" s="630">
        <v>5</v>
      </c>
      <c r="AP36" s="620">
        <v>0</v>
      </c>
      <c r="AQ36" s="621">
        <v>22</v>
      </c>
      <c r="AR36" s="921">
        <v>0</v>
      </c>
      <c r="AS36" s="927">
        <v>12</v>
      </c>
      <c r="AT36" s="1074">
        <v>0</v>
      </c>
      <c r="AU36" s="1371">
        <v>15</v>
      </c>
      <c r="AV36" s="1371">
        <v>4</v>
      </c>
      <c r="AW36" s="1371">
        <v>0</v>
      </c>
      <c r="AX36" s="1371">
        <v>0</v>
      </c>
      <c r="AY36" s="1371">
        <v>0</v>
      </c>
      <c r="AZ36" s="915" t="e">
        <f>ハダニ野帳!$AV$266</f>
        <v>#N/A</v>
      </c>
      <c r="BA36" s="508"/>
      <c r="BB36" s="491" t="s">
        <v>228</v>
      </c>
    </row>
    <row r="37" spans="1:54" ht="13.5" customHeight="1">
      <c r="A37" s="403"/>
      <c r="B37" s="407"/>
      <c r="C37" s="484" t="s">
        <v>225</v>
      </c>
      <c r="D37" s="543" t="e">
        <f t="shared" ca="1" si="0"/>
        <v>#N/A</v>
      </c>
      <c r="E37" s="779">
        <f t="shared" ca="1" si="2"/>
        <v>6.8</v>
      </c>
      <c r="F37" s="453"/>
      <c r="G37" s="453"/>
      <c r="H37" s="454">
        <f t="shared" ca="1" si="1"/>
        <v>5.6</v>
      </c>
      <c r="I37" s="607"/>
      <c r="J37" s="600"/>
      <c r="K37" s="434"/>
      <c r="L37" s="484" t="s">
        <v>225</v>
      </c>
      <c r="M37" s="601">
        <v>0</v>
      </c>
      <c r="N37" s="601">
        <v>54</v>
      </c>
      <c r="O37" s="601">
        <v>0</v>
      </c>
      <c r="P37" s="601">
        <v>0</v>
      </c>
      <c r="Q37" s="601">
        <v>0</v>
      </c>
      <c r="R37" s="601">
        <v>4</v>
      </c>
      <c r="S37" s="601">
        <v>5</v>
      </c>
      <c r="T37" s="601">
        <v>14</v>
      </c>
      <c r="U37" s="601">
        <v>6</v>
      </c>
      <c r="V37" s="601">
        <v>4</v>
      </c>
      <c r="W37" s="601">
        <v>12</v>
      </c>
      <c r="X37" s="601">
        <v>2</v>
      </c>
      <c r="Y37" s="601">
        <v>0</v>
      </c>
      <c r="Z37" s="602">
        <v>2</v>
      </c>
      <c r="AA37" s="603">
        <v>1.7</v>
      </c>
      <c r="AB37" s="603">
        <v>3</v>
      </c>
      <c r="AC37" s="603">
        <v>2</v>
      </c>
      <c r="AD37" s="603">
        <v>2</v>
      </c>
      <c r="AE37" s="603">
        <v>0</v>
      </c>
      <c r="AF37" s="603">
        <v>1</v>
      </c>
      <c r="AG37" s="745">
        <v>1</v>
      </c>
      <c r="AH37" s="603">
        <v>0</v>
      </c>
      <c r="AI37" s="603">
        <v>25.5</v>
      </c>
      <c r="AJ37" s="604">
        <v>1</v>
      </c>
      <c r="AK37" s="603">
        <v>5</v>
      </c>
      <c r="AL37" s="605">
        <v>1</v>
      </c>
      <c r="AM37" s="606">
        <v>0</v>
      </c>
      <c r="AN37" s="605">
        <v>13.5</v>
      </c>
      <c r="AO37" s="605">
        <v>2</v>
      </c>
      <c r="AP37" s="625">
        <v>0</v>
      </c>
      <c r="AQ37" s="626">
        <v>31</v>
      </c>
      <c r="AR37" s="917">
        <v>4</v>
      </c>
      <c r="AS37" s="923">
        <v>5</v>
      </c>
      <c r="AT37" s="1070">
        <v>0</v>
      </c>
      <c r="AU37" s="1367">
        <v>23</v>
      </c>
      <c r="AV37" s="1367">
        <v>3</v>
      </c>
      <c r="AW37" s="1367">
        <v>1</v>
      </c>
      <c r="AX37" s="1367">
        <v>0</v>
      </c>
      <c r="AY37" s="1367">
        <v>1</v>
      </c>
      <c r="AZ37" s="635" t="e">
        <f>ハダニ野帳!$D$295</f>
        <v>#N/A</v>
      </c>
      <c r="BA37" s="434"/>
      <c r="BB37" s="484" t="s">
        <v>225</v>
      </c>
    </row>
    <row r="38" spans="1:54" ht="13.5" customHeight="1">
      <c r="A38" s="403"/>
      <c r="B38" s="408" t="s">
        <v>238</v>
      </c>
      <c r="C38" s="491" t="s">
        <v>227</v>
      </c>
      <c r="D38" s="632" t="e">
        <f t="shared" ca="1" si="0"/>
        <v>#N/A</v>
      </c>
      <c r="E38" s="779">
        <f ca="1">AVERAGE(OFFSET(M38,0,$I$2-1988,1,-10))</f>
        <v>5.8</v>
      </c>
      <c r="F38" s="464"/>
      <c r="G38" s="464"/>
      <c r="H38" s="465">
        <f t="shared" ca="1" si="1"/>
        <v>2.8</v>
      </c>
      <c r="I38" s="607"/>
      <c r="J38" s="600"/>
      <c r="K38" s="490" t="s">
        <v>238</v>
      </c>
      <c r="L38" s="491" t="s">
        <v>227</v>
      </c>
      <c r="M38" s="608">
        <v>0</v>
      </c>
      <c r="N38" s="608">
        <v>52</v>
      </c>
      <c r="O38" s="608">
        <v>0</v>
      </c>
      <c r="P38" s="608">
        <v>0</v>
      </c>
      <c r="Q38" s="608">
        <v>0</v>
      </c>
      <c r="R38" s="608">
        <v>4</v>
      </c>
      <c r="S38" s="608">
        <v>4</v>
      </c>
      <c r="T38" s="608">
        <v>11.2</v>
      </c>
      <c r="U38" s="608">
        <v>8.3000000000000007</v>
      </c>
      <c r="V38" s="608">
        <v>2</v>
      </c>
      <c r="W38" s="608">
        <v>16</v>
      </c>
      <c r="X38" s="608">
        <v>2</v>
      </c>
      <c r="Y38" s="608">
        <v>8</v>
      </c>
      <c r="Z38" s="609">
        <v>0</v>
      </c>
      <c r="AA38" s="562">
        <v>0.5</v>
      </c>
      <c r="AB38" s="562">
        <v>1</v>
      </c>
      <c r="AC38" s="562">
        <v>1</v>
      </c>
      <c r="AD38" s="562">
        <v>1</v>
      </c>
      <c r="AE38" s="562">
        <v>0</v>
      </c>
      <c r="AF38" s="562">
        <v>3</v>
      </c>
      <c r="AG38" s="746">
        <v>0</v>
      </c>
      <c r="AH38" s="562">
        <v>0</v>
      </c>
      <c r="AI38" s="562">
        <f>(23+13)/2</f>
        <v>18</v>
      </c>
      <c r="AJ38" s="561">
        <v>2</v>
      </c>
      <c r="AK38" s="562">
        <v>4</v>
      </c>
      <c r="AL38" s="610">
        <v>0</v>
      </c>
      <c r="AM38" s="611">
        <v>0</v>
      </c>
      <c r="AN38" s="610">
        <v>16</v>
      </c>
      <c r="AO38" s="610">
        <v>3</v>
      </c>
      <c r="AP38" s="610">
        <v>0</v>
      </c>
      <c r="AQ38" s="611">
        <v>32</v>
      </c>
      <c r="AR38" s="918">
        <v>8</v>
      </c>
      <c r="AS38" s="924">
        <v>4</v>
      </c>
      <c r="AT38" s="1071">
        <v>0</v>
      </c>
      <c r="AU38" s="1368">
        <v>10</v>
      </c>
      <c r="AV38" s="1368">
        <v>2</v>
      </c>
      <c r="AW38" s="1368">
        <v>2</v>
      </c>
      <c r="AX38" s="1368">
        <v>0</v>
      </c>
      <c r="AY38" s="1368">
        <v>0</v>
      </c>
      <c r="AZ38" s="636" t="e">
        <f>ハダニ野帳!$Z$295</f>
        <v>#N/A</v>
      </c>
      <c r="BA38" s="490" t="s">
        <v>238</v>
      </c>
      <c r="BB38" s="491" t="s">
        <v>227</v>
      </c>
    </row>
    <row r="39" spans="1:54" ht="13.5" customHeight="1" thickBot="1">
      <c r="A39" s="403"/>
      <c r="B39" s="409"/>
      <c r="C39" s="612" t="s">
        <v>228</v>
      </c>
      <c r="D39" s="633" t="e">
        <f t="shared" ca="1" si="0"/>
        <v>#N/A</v>
      </c>
      <c r="E39" s="1607">
        <f t="shared" ca="1" si="2"/>
        <v>4.5</v>
      </c>
      <c r="F39" s="475"/>
      <c r="G39" s="475"/>
      <c r="H39" s="476">
        <f t="shared" ca="1" si="1"/>
        <v>4</v>
      </c>
      <c r="I39" s="607"/>
      <c r="J39" s="600"/>
      <c r="K39" s="508"/>
      <c r="L39" s="491" t="s">
        <v>228</v>
      </c>
      <c r="M39" s="616">
        <v>0</v>
      </c>
      <c r="N39" s="616">
        <v>45</v>
      </c>
      <c r="O39" s="616">
        <v>0</v>
      </c>
      <c r="P39" s="616">
        <v>0</v>
      </c>
      <c r="Q39" s="616">
        <v>0</v>
      </c>
      <c r="R39" s="616">
        <v>3</v>
      </c>
      <c r="S39" s="616">
        <v>5</v>
      </c>
      <c r="T39" s="616">
        <v>8.3000000000000007</v>
      </c>
      <c r="U39" s="616">
        <v>8</v>
      </c>
      <c r="V39" s="616">
        <v>4</v>
      </c>
      <c r="W39" s="616">
        <v>8</v>
      </c>
      <c r="X39" s="616">
        <v>4</v>
      </c>
      <c r="Y39" s="616">
        <v>6</v>
      </c>
      <c r="Z39" s="617">
        <v>0</v>
      </c>
      <c r="AA39" s="618">
        <v>0</v>
      </c>
      <c r="AB39" s="618">
        <v>2</v>
      </c>
      <c r="AC39" s="618">
        <v>1</v>
      </c>
      <c r="AD39" s="618">
        <v>0</v>
      </c>
      <c r="AE39" s="618">
        <v>2</v>
      </c>
      <c r="AF39" s="618">
        <v>4</v>
      </c>
      <c r="AG39" s="747">
        <v>0</v>
      </c>
      <c r="AH39" s="618">
        <v>1</v>
      </c>
      <c r="AI39" s="618">
        <f>(13+0)/2</f>
        <v>6.5</v>
      </c>
      <c r="AJ39" s="619">
        <v>0.5</v>
      </c>
      <c r="AK39" s="618">
        <v>3</v>
      </c>
      <c r="AL39" s="620">
        <v>0</v>
      </c>
      <c r="AM39" s="621">
        <v>0</v>
      </c>
      <c r="AN39" s="620">
        <v>10</v>
      </c>
      <c r="AO39" s="620">
        <v>0</v>
      </c>
      <c r="AP39" s="620">
        <v>0</v>
      </c>
      <c r="AQ39" s="621">
        <v>23</v>
      </c>
      <c r="AR39" s="921">
        <v>2</v>
      </c>
      <c r="AS39" s="927">
        <v>0</v>
      </c>
      <c r="AT39" s="1074">
        <v>0</v>
      </c>
      <c r="AU39" s="1371">
        <v>12</v>
      </c>
      <c r="AV39" s="1371">
        <v>6</v>
      </c>
      <c r="AW39" s="1371">
        <v>1</v>
      </c>
      <c r="AX39" s="1371">
        <v>1</v>
      </c>
      <c r="AY39" s="1371">
        <v>0</v>
      </c>
      <c r="AZ39" s="915" t="e">
        <f>ハダニ野帳!$AV$295</f>
        <v>#N/A</v>
      </c>
      <c r="BA39" s="508"/>
      <c r="BB39" s="491" t="s">
        <v>228</v>
      </c>
    </row>
    <row r="40" spans="1:54" ht="13.5" customHeight="1">
      <c r="A40" s="403"/>
      <c r="B40" s="407"/>
      <c r="C40" s="484" t="s">
        <v>225</v>
      </c>
      <c r="D40" s="622" t="e">
        <f t="shared" ca="1" si="0"/>
        <v>#N/A</v>
      </c>
      <c r="E40" s="1606">
        <f t="shared" ca="1" si="2"/>
        <v>4.4000000000000004</v>
      </c>
      <c r="F40" s="453"/>
      <c r="G40" s="453"/>
      <c r="H40" s="454">
        <f t="shared" ca="1" si="1"/>
        <v>2.6</v>
      </c>
      <c r="I40" s="634"/>
      <c r="J40" s="600"/>
      <c r="K40" s="434"/>
      <c r="L40" s="484" t="s">
        <v>225</v>
      </c>
      <c r="M40" s="623">
        <v>0</v>
      </c>
      <c r="N40" s="623">
        <v>38</v>
      </c>
      <c r="O40" s="623">
        <v>0</v>
      </c>
      <c r="P40" s="623">
        <v>0</v>
      </c>
      <c r="Q40" s="623">
        <v>0</v>
      </c>
      <c r="R40" s="623">
        <v>2</v>
      </c>
      <c r="S40" s="623">
        <v>5</v>
      </c>
      <c r="T40" s="623">
        <v>7</v>
      </c>
      <c r="U40" s="623">
        <v>6</v>
      </c>
      <c r="V40" s="623">
        <v>12</v>
      </c>
      <c r="W40" s="623">
        <v>8</v>
      </c>
      <c r="X40" s="623">
        <v>0</v>
      </c>
      <c r="Y40" s="623">
        <v>6</v>
      </c>
      <c r="Z40" s="624">
        <v>0</v>
      </c>
      <c r="AA40" s="559">
        <v>4</v>
      </c>
      <c r="AB40" s="559">
        <v>0</v>
      </c>
      <c r="AC40" s="559">
        <v>0</v>
      </c>
      <c r="AD40" s="559">
        <v>4</v>
      </c>
      <c r="AE40" s="559">
        <v>1</v>
      </c>
      <c r="AF40" s="559">
        <v>1</v>
      </c>
      <c r="AG40" s="748">
        <v>0</v>
      </c>
      <c r="AH40" s="559">
        <v>1</v>
      </c>
      <c r="AI40" s="559">
        <f>(0+11)/2</f>
        <v>5.5</v>
      </c>
      <c r="AJ40" s="558">
        <v>0</v>
      </c>
      <c r="AK40" s="559">
        <v>1</v>
      </c>
      <c r="AL40" s="625">
        <v>1</v>
      </c>
      <c r="AM40" s="626">
        <v>0</v>
      </c>
      <c r="AN40" s="625">
        <v>5</v>
      </c>
      <c r="AO40" s="625">
        <v>1</v>
      </c>
      <c r="AP40" s="625">
        <v>1</v>
      </c>
      <c r="AQ40" s="626">
        <v>14</v>
      </c>
      <c r="AR40" s="917">
        <v>11</v>
      </c>
      <c r="AS40" s="923">
        <v>5</v>
      </c>
      <c r="AT40" s="1070">
        <v>0</v>
      </c>
      <c r="AU40" s="1367">
        <v>11</v>
      </c>
      <c r="AV40" s="1367">
        <v>2</v>
      </c>
      <c r="AW40" s="1367">
        <v>0</v>
      </c>
      <c r="AX40" s="1367">
        <v>0</v>
      </c>
      <c r="AY40" s="1367">
        <v>0</v>
      </c>
      <c r="AZ40" s="635" t="e">
        <f>ハダニ野帳!$D$324</f>
        <v>#N/A</v>
      </c>
      <c r="BA40" s="434"/>
      <c r="BB40" s="484" t="s">
        <v>225</v>
      </c>
    </row>
    <row r="41" spans="1:54" ht="13.5" customHeight="1">
      <c r="A41" s="403"/>
      <c r="B41" s="408" t="s">
        <v>239</v>
      </c>
      <c r="C41" s="491" t="s">
        <v>227</v>
      </c>
      <c r="D41" s="632" t="e">
        <f t="shared" ca="1" si="0"/>
        <v>#N/A</v>
      </c>
      <c r="E41" s="779">
        <f t="shared" ca="1" si="2"/>
        <v>4</v>
      </c>
      <c r="F41" s="464"/>
      <c r="G41" s="464"/>
      <c r="H41" s="465">
        <f t="shared" ca="1" si="1"/>
        <v>2.8</v>
      </c>
      <c r="I41" s="607"/>
      <c r="J41" s="600"/>
      <c r="K41" s="490" t="s">
        <v>239</v>
      </c>
      <c r="L41" s="491" t="s">
        <v>227</v>
      </c>
      <c r="M41" s="608">
        <v>0</v>
      </c>
      <c r="N41" s="608">
        <v>31</v>
      </c>
      <c r="O41" s="608">
        <v>0</v>
      </c>
      <c r="P41" s="608">
        <v>0</v>
      </c>
      <c r="Q41" s="608">
        <v>0</v>
      </c>
      <c r="R41" s="608">
        <v>1</v>
      </c>
      <c r="S41" s="608">
        <v>5</v>
      </c>
      <c r="T41" s="608">
        <v>5.7</v>
      </c>
      <c r="U41" s="608">
        <v>4</v>
      </c>
      <c r="V41" s="608">
        <v>6</v>
      </c>
      <c r="W41" s="608">
        <v>10</v>
      </c>
      <c r="X41" s="608">
        <v>4</v>
      </c>
      <c r="Y41" s="608">
        <v>4</v>
      </c>
      <c r="Z41" s="609">
        <v>0</v>
      </c>
      <c r="AA41" s="562">
        <v>0</v>
      </c>
      <c r="AB41" s="562">
        <v>1</v>
      </c>
      <c r="AC41" s="562">
        <v>4</v>
      </c>
      <c r="AD41" s="562">
        <v>0</v>
      </c>
      <c r="AE41" s="562">
        <v>0</v>
      </c>
      <c r="AF41" s="562">
        <v>3</v>
      </c>
      <c r="AG41" s="746">
        <v>1</v>
      </c>
      <c r="AH41" s="562">
        <v>0</v>
      </c>
      <c r="AI41" s="562">
        <v>3</v>
      </c>
      <c r="AJ41" s="561">
        <v>0.5</v>
      </c>
      <c r="AK41" s="562">
        <v>2</v>
      </c>
      <c r="AL41" s="610">
        <v>0</v>
      </c>
      <c r="AM41" s="611">
        <v>0</v>
      </c>
      <c r="AN41" s="610">
        <v>7</v>
      </c>
      <c r="AO41" s="610">
        <v>0</v>
      </c>
      <c r="AP41" s="610">
        <v>0</v>
      </c>
      <c r="AQ41" s="611">
        <v>20</v>
      </c>
      <c r="AR41" s="918">
        <v>4</v>
      </c>
      <c r="AS41" s="924">
        <v>2</v>
      </c>
      <c r="AT41" s="1071">
        <v>0</v>
      </c>
      <c r="AU41" s="1368">
        <v>10</v>
      </c>
      <c r="AV41" s="1368">
        <v>2</v>
      </c>
      <c r="AW41" s="1368">
        <v>0</v>
      </c>
      <c r="AX41" s="1368">
        <v>1</v>
      </c>
      <c r="AY41" s="1368">
        <v>1</v>
      </c>
      <c r="AZ41" s="636" t="e">
        <f>ハダニ野帳!$Z$324</f>
        <v>#N/A</v>
      </c>
      <c r="BA41" s="490" t="s">
        <v>239</v>
      </c>
      <c r="BB41" s="491" t="s">
        <v>227</v>
      </c>
    </row>
    <row r="42" spans="1:54" ht="13.5" customHeight="1" thickBot="1">
      <c r="A42" s="403"/>
      <c r="B42" s="410"/>
      <c r="C42" s="509" t="s">
        <v>228</v>
      </c>
      <c r="D42" s="627" t="e">
        <f t="shared" ca="1" si="0"/>
        <v>#N/A</v>
      </c>
      <c r="E42" s="1609">
        <f t="shared" ca="1" si="2"/>
        <v>2.2999999999999998</v>
      </c>
      <c r="F42" s="475"/>
      <c r="G42" s="475"/>
      <c r="H42" s="476">
        <f t="shared" ca="1" si="1"/>
        <v>0.4</v>
      </c>
      <c r="I42" s="615"/>
      <c r="J42" s="600"/>
      <c r="K42" s="508"/>
      <c r="L42" s="509" t="s">
        <v>228</v>
      </c>
      <c r="M42" s="628">
        <v>0</v>
      </c>
      <c r="N42" s="628">
        <v>32</v>
      </c>
      <c r="O42" s="628">
        <v>0</v>
      </c>
      <c r="P42" s="628">
        <v>0</v>
      </c>
      <c r="Q42" s="628">
        <v>0</v>
      </c>
      <c r="R42" s="628">
        <v>0</v>
      </c>
      <c r="S42" s="628">
        <v>4</v>
      </c>
      <c r="T42" s="628">
        <v>4.9000000000000004</v>
      </c>
      <c r="U42" s="628">
        <v>4</v>
      </c>
      <c r="V42" s="628">
        <v>8</v>
      </c>
      <c r="W42" s="628">
        <v>12</v>
      </c>
      <c r="X42" s="628">
        <v>2</v>
      </c>
      <c r="Y42" s="628">
        <v>4</v>
      </c>
      <c r="Z42" s="629">
        <v>0</v>
      </c>
      <c r="AA42" s="565">
        <v>0</v>
      </c>
      <c r="AB42" s="565">
        <v>0</v>
      </c>
      <c r="AC42" s="565">
        <v>2</v>
      </c>
      <c r="AD42" s="565">
        <v>0</v>
      </c>
      <c r="AE42" s="565">
        <v>0</v>
      </c>
      <c r="AF42" s="565">
        <v>1</v>
      </c>
      <c r="AG42" s="749">
        <v>0</v>
      </c>
      <c r="AH42" s="565">
        <v>1</v>
      </c>
      <c r="AI42" s="565">
        <v>11</v>
      </c>
      <c r="AJ42" s="564">
        <v>1</v>
      </c>
      <c r="AK42" s="565">
        <v>0</v>
      </c>
      <c r="AL42" s="630">
        <v>0</v>
      </c>
      <c r="AM42" s="631">
        <v>0</v>
      </c>
      <c r="AN42" s="630">
        <v>3</v>
      </c>
      <c r="AO42" s="630">
        <v>0</v>
      </c>
      <c r="AP42" s="630">
        <v>0</v>
      </c>
      <c r="AQ42" s="630">
        <v>12</v>
      </c>
      <c r="AR42" s="922">
        <v>3</v>
      </c>
      <c r="AS42" s="925">
        <v>6</v>
      </c>
      <c r="AT42" s="1072">
        <v>0</v>
      </c>
      <c r="AU42" s="1369">
        <v>2</v>
      </c>
      <c r="AV42" s="1369">
        <v>0</v>
      </c>
      <c r="AW42" s="1369">
        <v>0</v>
      </c>
      <c r="AX42" s="1369">
        <v>0</v>
      </c>
      <c r="AY42" s="1369">
        <v>0</v>
      </c>
      <c r="AZ42" s="637" t="e">
        <f>ハダニ野帳!$AV$324</f>
        <v>#N/A</v>
      </c>
      <c r="BA42" s="508"/>
      <c r="BB42" s="509" t="s">
        <v>228</v>
      </c>
    </row>
    <row r="43" spans="1:54" ht="13.5" customHeight="1">
      <c r="A43" s="403"/>
      <c r="B43" s="411"/>
      <c r="C43" s="411"/>
      <c r="D43" s="411"/>
      <c r="E43" s="638"/>
      <c r="F43" s="1880"/>
      <c r="G43" s="1880"/>
      <c r="H43" s="1880"/>
      <c r="I43" s="638"/>
      <c r="J43" s="403"/>
      <c r="K43" s="411"/>
      <c r="L43" s="411"/>
      <c r="M43" s="403"/>
      <c r="N43" s="403"/>
      <c r="O43" s="403"/>
      <c r="P43" s="403"/>
      <c r="Q43" s="403"/>
      <c r="R43" s="403"/>
      <c r="S43" s="403"/>
      <c r="T43" s="403"/>
      <c r="U43" s="403"/>
      <c r="V43" s="403"/>
      <c r="W43" s="403"/>
      <c r="X43" s="403"/>
      <c r="Y43" s="403"/>
      <c r="Z43" s="403"/>
      <c r="AA43" s="403"/>
      <c r="AB43" s="403"/>
      <c r="AC43" s="403"/>
      <c r="AD43" s="403"/>
      <c r="AE43" s="403"/>
      <c r="BA43" s="411"/>
      <c r="BB43" s="411"/>
    </row>
    <row r="44" spans="1:54" ht="13.5" customHeight="1">
      <c r="A44" s="403"/>
      <c r="B44" s="411"/>
      <c r="C44" s="411"/>
      <c r="D44" s="411"/>
      <c r="E44" s="638"/>
      <c r="F44" s="1882"/>
      <c r="G44" s="1882"/>
      <c r="H44" s="1882"/>
      <c r="I44" s="638"/>
      <c r="J44" s="403"/>
      <c r="K44" s="411"/>
      <c r="L44" s="411"/>
      <c r="M44" s="403"/>
      <c r="N44" s="403"/>
      <c r="O44" s="403"/>
      <c r="P44" s="403"/>
      <c r="Q44" s="403"/>
      <c r="R44" s="403"/>
      <c r="S44" s="403"/>
      <c r="T44" s="403"/>
      <c r="U44" s="403"/>
      <c r="V44" s="403"/>
      <c r="W44" s="403"/>
      <c r="X44" s="403"/>
      <c r="Y44" s="403"/>
      <c r="Z44" s="403"/>
      <c r="AA44" s="403"/>
      <c r="AB44" s="403"/>
      <c r="AC44" s="403"/>
      <c r="AD44" s="403"/>
      <c r="AE44" s="403"/>
      <c r="AM44" s="1316"/>
      <c r="AN44" s="1774"/>
      <c r="AO44" s="1316"/>
      <c r="AP44" s="1316"/>
      <c r="AQ44" s="1316"/>
      <c r="AR44" s="1316"/>
      <c r="AS44" s="1316"/>
      <c r="AT44" s="1316"/>
      <c r="AU44" s="1316"/>
      <c r="AV44" s="1316"/>
      <c r="AW44" s="1316"/>
      <c r="AX44" s="1316"/>
      <c r="AY44" s="1316"/>
      <c r="AZ44" s="1316"/>
      <c r="BA44" s="1319"/>
      <c r="BB44" s="411"/>
    </row>
    <row r="45" spans="1:54" ht="23.25" customHeight="1">
      <c r="A45" s="403"/>
      <c r="B45" s="1881" t="s">
        <v>240</v>
      </c>
      <c r="C45" s="1881"/>
      <c r="D45" s="1881"/>
      <c r="E45" s="1881"/>
      <c r="F45" s="1881"/>
      <c r="G45" s="1881"/>
      <c r="H45" s="1881"/>
      <c r="I45" s="1881"/>
      <c r="J45" s="403"/>
      <c r="K45" s="403"/>
      <c r="L45" s="403"/>
      <c r="M45" s="403"/>
      <c r="N45" s="403"/>
      <c r="O45" s="403"/>
      <c r="P45" s="403"/>
      <c r="Q45" s="403"/>
      <c r="R45" s="403"/>
      <c r="S45" s="403"/>
      <c r="T45" s="403"/>
      <c r="U45" s="403"/>
      <c r="V45" s="403"/>
      <c r="W45" s="403"/>
      <c r="X45" s="403"/>
      <c r="Y45" s="403"/>
      <c r="Z45" s="403"/>
      <c r="AA45" s="403"/>
      <c r="AB45" s="403"/>
      <c r="AC45" s="403"/>
      <c r="AD45" s="403"/>
      <c r="AE45" s="403"/>
      <c r="AM45" s="1248"/>
      <c r="AN45" s="1248"/>
      <c r="AO45" s="1248"/>
      <c r="AP45" s="1248"/>
      <c r="AQ45" s="1248"/>
      <c r="AR45" s="1248"/>
      <c r="AS45" s="1248"/>
      <c r="AW45" s="912"/>
      <c r="AX45" s="912"/>
      <c r="AY45" s="912"/>
      <c r="AZ45" s="912"/>
      <c r="BA45" s="403"/>
      <c r="BB45" s="403"/>
    </row>
    <row r="46" spans="1:54" ht="20.25" customHeight="1" thickBot="1">
      <c r="A46" s="403"/>
      <c r="B46" s="411"/>
      <c r="C46" s="411"/>
      <c r="D46" s="411"/>
      <c r="E46" s="638"/>
      <c r="F46" s="1880"/>
      <c r="G46" s="1880"/>
      <c r="H46" s="1880"/>
      <c r="I46" s="638"/>
      <c r="J46" s="403"/>
      <c r="K46" s="419"/>
      <c r="L46" s="411"/>
      <c r="M46" s="403"/>
      <c r="N46" s="403"/>
      <c r="O46" s="403"/>
      <c r="P46" s="403"/>
      <c r="Q46" s="403"/>
      <c r="R46" s="403"/>
      <c r="S46" s="403"/>
      <c r="T46" s="403"/>
      <c r="U46" s="403"/>
      <c r="V46" s="403"/>
      <c r="W46" s="403"/>
      <c r="X46" s="403"/>
      <c r="Y46" s="403"/>
      <c r="Z46" s="403"/>
      <c r="AA46" s="403"/>
      <c r="AB46" s="403"/>
      <c r="AC46" s="403"/>
      <c r="AD46" s="403"/>
      <c r="AE46" s="403"/>
      <c r="AJ46" s="1047"/>
      <c r="AK46" s="1047"/>
      <c r="AL46" s="1047"/>
      <c r="AM46" s="1047"/>
      <c r="AN46" s="1047"/>
      <c r="AO46" s="1047"/>
      <c r="AP46" s="1047"/>
      <c r="AQ46" s="1047"/>
      <c r="AR46" s="1047"/>
      <c r="AS46" s="1047"/>
      <c r="AT46" s="1047"/>
      <c r="AU46" s="1047"/>
      <c r="AV46" s="1047"/>
      <c r="AW46" s="1047"/>
      <c r="AX46" s="1047"/>
      <c r="AY46" s="1047"/>
      <c r="AZ46" s="1047"/>
      <c r="BA46" s="419"/>
      <c r="BB46" s="411"/>
    </row>
    <row r="47" spans="1:54" ht="18" customHeight="1" thickBot="1">
      <c r="A47" s="403"/>
      <c r="B47" s="404"/>
      <c r="C47" s="591"/>
      <c r="D47" s="639" t="s">
        <v>153</v>
      </c>
      <c r="E47" s="1778" t="s">
        <v>154</v>
      </c>
      <c r="F47" s="1885" t="s">
        <v>155</v>
      </c>
      <c r="G47" s="1885"/>
      <c r="H47" s="1886"/>
      <c r="I47" s="640"/>
      <c r="J47" s="403"/>
      <c r="K47" s="411"/>
      <c r="L47" s="411"/>
      <c r="M47" s="403"/>
      <c r="N47" s="403"/>
      <c r="O47" s="403"/>
      <c r="P47" s="403"/>
      <c r="Q47" s="403"/>
      <c r="R47" s="403"/>
      <c r="S47" s="403"/>
      <c r="T47" s="403"/>
      <c r="U47" s="403"/>
      <c r="V47" s="403"/>
      <c r="W47" s="403"/>
      <c r="X47" s="403"/>
      <c r="Y47" s="403"/>
      <c r="Z47" s="403"/>
      <c r="AA47" s="403"/>
      <c r="AB47" s="403"/>
      <c r="AC47" s="403"/>
      <c r="AD47" s="403"/>
      <c r="AE47" s="403"/>
      <c r="AF47" s="403"/>
      <c r="AG47" s="743"/>
      <c r="AH47" s="852"/>
      <c r="AI47" s="852"/>
      <c r="AJ47" s="852"/>
      <c r="AK47" s="852"/>
      <c r="AL47" s="852"/>
      <c r="AM47" s="852"/>
      <c r="AN47" s="852"/>
      <c r="AO47" s="852"/>
      <c r="AP47" s="852"/>
      <c r="AQ47" s="852"/>
      <c r="AR47" s="852"/>
      <c r="AS47" s="852"/>
      <c r="AT47" s="852"/>
      <c r="AU47" s="852"/>
      <c r="AV47" s="852"/>
      <c r="AW47" s="852"/>
      <c r="AX47" s="852"/>
      <c r="AY47" s="852"/>
      <c r="AZ47" s="852"/>
      <c r="BA47" s="411"/>
      <c r="BB47" s="411"/>
    </row>
    <row r="48" spans="1:54" ht="13.5" customHeight="1">
      <c r="A48" s="403"/>
      <c r="B48" s="405"/>
      <c r="C48" s="593"/>
      <c r="D48" s="427">
        <f>D5</f>
        <v>2026</v>
      </c>
      <c r="E48" s="1883" t="s">
        <v>156</v>
      </c>
      <c r="F48" s="775">
        <f>D48-5</f>
        <v>2021</v>
      </c>
      <c r="G48" s="431" t="s">
        <v>241</v>
      </c>
      <c r="H48" s="432">
        <f>D48-1</f>
        <v>2025</v>
      </c>
      <c r="I48" s="641">
        <f>$H$5-$F$5+1</f>
        <v>5</v>
      </c>
      <c r="J48" s="403"/>
      <c r="K48" s="434"/>
      <c r="L48" s="595"/>
      <c r="M48" s="596">
        <v>1987</v>
      </c>
      <c r="N48" s="437">
        <v>1988</v>
      </c>
      <c r="O48" s="437">
        <v>1989</v>
      </c>
      <c r="P48" s="437">
        <v>1990</v>
      </c>
      <c r="Q48" s="437">
        <v>1991</v>
      </c>
      <c r="R48" s="437">
        <v>1992</v>
      </c>
      <c r="S48" s="437">
        <v>1993</v>
      </c>
      <c r="T48" s="437">
        <v>1994</v>
      </c>
      <c r="U48" s="437">
        <v>1995</v>
      </c>
      <c r="V48" s="437">
        <v>1996</v>
      </c>
      <c r="W48" s="437">
        <v>1997</v>
      </c>
      <c r="X48" s="437">
        <v>1998</v>
      </c>
      <c r="Y48" s="437">
        <v>1999</v>
      </c>
      <c r="Z48" s="437">
        <v>2000</v>
      </c>
      <c r="AA48" s="437">
        <v>2001</v>
      </c>
      <c r="AB48" s="437">
        <v>2002</v>
      </c>
      <c r="AC48" s="437">
        <v>2003</v>
      </c>
      <c r="AD48" s="437">
        <v>2004</v>
      </c>
      <c r="AE48" s="437">
        <v>2005</v>
      </c>
      <c r="AF48" s="437">
        <v>2006</v>
      </c>
      <c r="AG48" s="437">
        <v>2007</v>
      </c>
      <c r="AH48" s="856">
        <v>2008</v>
      </c>
      <c r="AI48" s="856">
        <v>2009</v>
      </c>
      <c r="AJ48" s="1075">
        <v>2010</v>
      </c>
      <c r="AK48" s="1255">
        <v>2011</v>
      </c>
      <c r="AL48" s="439">
        <v>2012</v>
      </c>
      <c r="AM48" s="438">
        <v>2013</v>
      </c>
      <c r="AN48" s="439">
        <v>2014</v>
      </c>
      <c r="AO48" s="439">
        <v>2015</v>
      </c>
      <c r="AP48" s="439">
        <v>2016</v>
      </c>
      <c r="AQ48" s="438">
        <v>2017</v>
      </c>
      <c r="AR48" s="440">
        <v>2018</v>
      </c>
      <c r="AS48" s="438">
        <v>2019</v>
      </c>
      <c r="AT48" s="857">
        <v>2020</v>
      </c>
      <c r="AU48" s="857">
        <v>2021</v>
      </c>
      <c r="AV48" s="1326">
        <v>2022</v>
      </c>
      <c r="AW48" s="857">
        <v>2023</v>
      </c>
      <c r="AX48" s="1663">
        <v>2024</v>
      </c>
      <c r="AY48" s="1663">
        <v>2025</v>
      </c>
      <c r="AZ48" s="1663">
        <v>2026</v>
      </c>
      <c r="BA48" s="434"/>
      <c r="BB48" s="595"/>
    </row>
    <row r="49" spans="1:54" ht="14.5" thickBot="1">
      <c r="A49" s="403"/>
      <c r="B49" s="406"/>
      <c r="C49" s="597"/>
      <c r="D49" s="642" t="str">
        <f t="shared" ref="D49:D85" ca="1" si="3">IF(ISBLANK($D$48),-20,OFFSET($M49,0,$D$48-1987,1,1))</f>
        <v>R8</v>
      </c>
      <c r="E49" s="1884"/>
      <c r="F49" s="1887">
        <f>IF(OR(ISBLANK($F$48),ISBLANK($H$48)),"　ヶ年平均",$H$48-$F$48+1)</f>
        <v>5</v>
      </c>
      <c r="G49" s="1887"/>
      <c r="H49" s="1888"/>
      <c r="I49" s="643"/>
      <c r="J49" s="413"/>
      <c r="K49" s="406"/>
      <c r="L49" s="597"/>
      <c r="M49" s="598" t="s">
        <v>158</v>
      </c>
      <c r="N49" s="447" t="s">
        <v>159</v>
      </c>
      <c r="O49" s="447" t="s">
        <v>160</v>
      </c>
      <c r="P49" s="447" t="s">
        <v>161</v>
      </c>
      <c r="Q49" s="447" t="s">
        <v>162</v>
      </c>
      <c r="R49" s="447" t="s">
        <v>163</v>
      </c>
      <c r="S49" s="447" t="s">
        <v>164</v>
      </c>
      <c r="T49" s="447" t="s">
        <v>165</v>
      </c>
      <c r="U49" s="447" t="s">
        <v>166</v>
      </c>
      <c r="V49" s="447" t="s">
        <v>167</v>
      </c>
      <c r="W49" s="447" t="s">
        <v>168</v>
      </c>
      <c r="X49" s="447" t="s">
        <v>169</v>
      </c>
      <c r="Y49" s="447" t="s">
        <v>170</v>
      </c>
      <c r="Z49" s="447" t="s">
        <v>171</v>
      </c>
      <c r="AA49" s="447" t="s">
        <v>172</v>
      </c>
      <c r="AB49" s="447" t="s">
        <v>173</v>
      </c>
      <c r="AC49" s="447" t="s">
        <v>174</v>
      </c>
      <c r="AD49" s="447" t="s">
        <v>175</v>
      </c>
      <c r="AE49" s="447" t="s">
        <v>176</v>
      </c>
      <c r="AF49" s="447" t="s">
        <v>177</v>
      </c>
      <c r="AG49" s="744" t="s">
        <v>178</v>
      </c>
      <c r="AH49" s="447" t="s">
        <v>179</v>
      </c>
      <c r="AI49" s="447" t="s">
        <v>180</v>
      </c>
      <c r="AJ49" s="448" t="s">
        <v>181</v>
      </c>
      <c r="AK49" s="447" t="s">
        <v>182</v>
      </c>
      <c r="AL49" s="448" t="s">
        <v>183</v>
      </c>
      <c r="AM49" s="447" t="s">
        <v>184</v>
      </c>
      <c r="AN49" s="448" t="s">
        <v>185</v>
      </c>
      <c r="AO49" s="448" t="s">
        <v>186</v>
      </c>
      <c r="AP49" s="755" t="s">
        <v>187</v>
      </c>
      <c r="AQ49" s="744" t="s">
        <v>272</v>
      </c>
      <c r="AR49" s="916" t="s">
        <v>273</v>
      </c>
      <c r="AS49" s="863" t="s">
        <v>314</v>
      </c>
      <c r="AT49" s="1064" t="s">
        <v>325</v>
      </c>
      <c r="AU49" s="1064" t="s">
        <v>329</v>
      </c>
      <c r="AV49" s="1366" t="s">
        <v>330</v>
      </c>
      <c r="AW49" s="1366" t="s">
        <v>476</v>
      </c>
      <c r="AX49" s="1667" t="s">
        <v>332</v>
      </c>
      <c r="AY49" s="1667" t="s">
        <v>537</v>
      </c>
      <c r="AZ49" s="1667" t="s">
        <v>543</v>
      </c>
      <c r="BA49" s="406"/>
      <c r="BB49" s="597"/>
    </row>
    <row r="50" spans="1:54">
      <c r="A50" s="403"/>
      <c r="B50" s="407"/>
      <c r="C50" s="484" t="s">
        <v>225</v>
      </c>
      <c r="D50" s="644">
        <f t="shared" ca="1" si="3"/>
        <v>0</v>
      </c>
      <c r="E50" s="645">
        <f ca="1">AVERAGE(OFFSET(M50,0,$I$2-1988,1,-10))</f>
        <v>0.12333333333333335</v>
      </c>
      <c r="F50" s="646"/>
      <c r="G50" s="646"/>
      <c r="H50" s="647">
        <f t="shared" ref="H50:H85" ca="1" si="4">IF(OR(ISBLANK($F$48),ISBLANK($H$48)),-20,AVERAGE(OFFSET($M50,0,$F$48-1987,1,$H$48-$F$48+1)))</f>
        <v>0.09</v>
      </c>
      <c r="I50" s="648"/>
      <c r="J50" s="649"/>
      <c r="K50" s="434"/>
      <c r="L50" s="515" t="s">
        <v>225</v>
      </c>
      <c r="M50" s="650"/>
      <c r="N50" s="650"/>
      <c r="O50" s="650">
        <v>2</v>
      </c>
      <c r="P50" s="650">
        <v>0.01</v>
      </c>
      <c r="Q50" s="650">
        <v>0</v>
      </c>
      <c r="R50" s="650">
        <v>0</v>
      </c>
      <c r="S50" s="650">
        <v>0.01</v>
      </c>
      <c r="T50" s="650">
        <v>0.08</v>
      </c>
      <c r="U50" s="650">
        <v>0.24</v>
      </c>
      <c r="V50" s="650">
        <v>0.19</v>
      </c>
      <c r="W50" s="650">
        <v>0.38</v>
      </c>
      <c r="X50" s="650">
        <v>0.26</v>
      </c>
      <c r="Y50" s="650">
        <v>0</v>
      </c>
      <c r="Z50" s="650">
        <v>0.08</v>
      </c>
      <c r="AA50" s="651">
        <v>0</v>
      </c>
      <c r="AB50" s="651">
        <v>0.04</v>
      </c>
      <c r="AC50" s="651">
        <v>0.01</v>
      </c>
      <c r="AD50" s="651">
        <v>0.01</v>
      </c>
      <c r="AE50" s="651">
        <v>0</v>
      </c>
      <c r="AF50" s="651">
        <v>0.01</v>
      </c>
      <c r="AG50" s="751">
        <v>0.05</v>
      </c>
      <c r="AH50" s="651">
        <v>0</v>
      </c>
      <c r="AI50" s="651">
        <v>0</v>
      </c>
      <c r="AJ50" s="652">
        <v>0.16</v>
      </c>
      <c r="AK50" s="652">
        <v>0</v>
      </c>
      <c r="AL50" s="653">
        <v>0.33</v>
      </c>
      <c r="AM50" s="539">
        <v>0</v>
      </c>
      <c r="AN50" s="654">
        <v>0</v>
      </c>
      <c r="AO50" s="655">
        <v>0.03</v>
      </c>
      <c r="AP50" s="756">
        <v>0</v>
      </c>
      <c r="AQ50" s="858">
        <v>0.11</v>
      </c>
      <c r="AR50" s="928">
        <v>0.59</v>
      </c>
      <c r="AS50" s="938">
        <v>0.02</v>
      </c>
      <c r="AT50" s="1065">
        <v>0.03</v>
      </c>
      <c r="AU50" s="1065">
        <v>0</v>
      </c>
      <c r="AV50" s="1588">
        <v>0.24</v>
      </c>
      <c r="AW50" s="1664">
        <v>0.11</v>
      </c>
      <c r="AX50" s="1713" t="s">
        <v>539</v>
      </c>
      <c r="AY50" s="1713">
        <v>0.01</v>
      </c>
      <c r="AZ50" s="1549">
        <f>IFERROR(ハダニ野帳!$J$5/100,#N/A)</f>
        <v>0</v>
      </c>
      <c r="BA50" s="434"/>
      <c r="BB50" s="515" t="s">
        <v>225</v>
      </c>
    </row>
    <row r="51" spans="1:54">
      <c r="A51" s="403"/>
      <c r="B51" s="408" t="s">
        <v>242</v>
      </c>
      <c r="C51" s="491" t="s">
        <v>227</v>
      </c>
      <c r="D51" s="644">
        <f t="shared" ca="1" si="3"/>
        <v>0</v>
      </c>
      <c r="E51" s="656">
        <f t="shared" ref="E51:E85" ca="1" si="5">AVERAGE(OFFSET(M51,0,$I$2-1988,1,-10))</f>
        <v>0.11888888888888889</v>
      </c>
      <c r="F51" s="657"/>
      <c r="G51" s="657"/>
      <c r="H51" s="658">
        <f t="shared" ca="1" si="4"/>
        <v>0.1525</v>
      </c>
      <c r="I51" s="659"/>
      <c r="J51" s="413"/>
      <c r="K51" s="490" t="s">
        <v>306</v>
      </c>
      <c r="L51" s="491" t="s">
        <v>227</v>
      </c>
      <c r="M51" s="660"/>
      <c r="N51" s="660"/>
      <c r="O51" s="660">
        <v>2.6</v>
      </c>
      <c r="P51" s="660">
        <v>0.04</v>
      </c>
      <c r="Q51" s="660">
        <v>0</v>
      </c>
      <c r="R51" s="660">
        <v>0</v>
      </c>
      <c r="S51" s="660">
        <v>0.02</v>
      </c>
      <c r="T51" s="660">
        <v>0.08</v>
      </c>
      <c r="U51" s="660">
        <v>0.17</v>
      </c>
      <c r="V51" s="660">
        <v>0.04</v>
      </c>
      <c r="W51" s="660">
        <v>0.64</v>
      </c>
      <c r="X51" s="660">
        <v>0.16</v>
      </c>
      <c r="Y51" s="660">
        <v>0</v>
      </c>
      <c r="Z51" s="660">
        <v>0.16</v>
      </c>
      <c r="AA51" s="661">
        <v>0</v>
      </c>
      <c r="AB51" s="661">
        <v>0.03</v>
      </c>
      <c r="AC51" s="661">
        <v>0</v>
      </c>
      <c r="AD51" s="661">
        <v>0</v>
      </c>
      <c r="AE51" s="661">
        <v>0</v>
      </c>
      <c r="AF51" s="661">
        <v>0</v>
      </c>
      <c r="AG51" s="752">
        <v>0.09</v>
      </c>
      <c r="AH51" s="661">
        <v>0</v>
      </c>
      <c r="AI51" s="661">
        <v>0</v>
      </c>
      <c r="AJ51" s="662">
        <v>0.05</v>
      </c>
      <c r="AK51" s="662">
        <v>1.4999999999999999E-2</v>
      </c>
      <c r="AL51" s="663">
        <v>0.13</v>
      </c>
      <c r="AM51" s="540">
        <v>0</v>
      </c>
      <c r="AN51" s="664">
        <v>0</v>
      </c>
      <c r="AO51" s="665">
        <v>0.2</v>
      </c>
      <c r="AP51" s="757">
        <v>0.01</v>
      </c>
      <c r="AQ51" s="859">
        <v>0</v>
      </c>
      <c r="AR51" s="929">
        <v>0.42</v>
      </c>
      <c r="AS51" s="939">
        <v>0.02</v>
      </c>
      <c r="AT51" s="1066">
        <v>0.01</v>
      </c>
      <c r="AU51" s="1066">
        <v>0</v>
      </c>
      <c r="AV51" s="1068">
        <v>0.57999999999999996</v>
      </c>
      <c r="AW51" s="1665">
        <v>0.03</v>
      </c>
      <c r="AX51" s="1714" t="s">
        <v>538</v>
      </c>
      <c r="AY51" s="1714">
        <v>0</v>
      </c>
      <c r="AZ51" s="1551">
        <f>IFERROR(ハダニ野帳!$AF$5/100,#N/A)</f>
        <v>0</v>
      </c>
      <c r="BA51" s="490" t="s">
        <v>242</v>
      </c>
      <c r="BB51" s="491" t="s">
        <v>227</v>
      </c>
    </row>
    <row r="52" spans="1:54" ht="14.5" thickBot="1">
      <c r="A52" s="403"/>
      <c r="B52" s="409"/>
      <c r="C52" s="612" t="s">
        <v>228</v>
      </c>
      <c r="D52" s="666">
        <f t="shared" ca="1" si="3"/>
        <v>0</v>
      </c>
      <c r="E52" s="667">
        <f t="shared" ca="1" si="5"/>
        <v>7.1111111111111111E-2</v>
      </c>
      <c r="F52" s="668"/>
      <c r="G52" s="668"/>
      <c r="H52" s="669">
        <f t="shared" ca="1" si="4"/>
        <v>9.5000000000000001E-2</v>
      </c>
      <c r="I52" s="670"/>
      <c r="J52" s="413"/>
      <c r="K52" s="405"/>
      <c r="L52" s="491" t="s">
        <v>228</v>
      </c>
      <c r="M52" s="671"/>
      <c r="N52" s="671"/>
      <c r="O52" s="671">
        <v>3.5</v>
      </c>
      <c r="P52" s="671">
        <v>0.04</v>
      </c>
      <c r="Q52" s="671">
        <v>0</v>
      </c>
      <c r="R52" s="671">
        <v>0</v>
      </c>
      <c r="S52" s="671">
        <v>0.02</v>
      </c>
      <c r="T52" s="671">
        <v>7.0000000000000007E-2</v>
      </c>
      <c r="U52" s="671">
        <v>0.09</v>
      </c>
      <c r="V52" s="671">
        <v>0.06</v>
      </c>
      <c r="W52" s="671">
        <v>0.26</v>
      </c>
      <c r="X52" s="671">
        <v>0.18</v>
      </c>
      <c r="Y52" s="671">
        <v>0</v>
      </c>
      <c r="Z52" s="671">
        <v>0.1</v>
      </c>
      <c r="AA52" s="672">
        <v>0</v>
      </c>
      <c r="AB52" s="672">
        <v>0.02</v>
      </c>
      <c r="AC52" s="672">
        <v>0.01</v>
      </c>
      <c r="AD52" s="672">
        <v>0</v>
      </c>
      <c r="AE52" s="672">
        <v>0.08</v>
      </c>
      <c r="AF52" s="672">
        <v>0</v>
      </c>
      <c r="AG52" s="753">
        <v>0.03</v>
      </c>
      <c r="AH52" s="672">
        <v>0.02</v>
      </c>
      <c r="AI52" s="672">
        <v>0</v>
      </c>
      <c r="AJ52" s="673">
        <v>0.06</v>
      </c>
      <c r="AK52" s="673">
        <v>0</v>
      </c>
      <c r="AL52" s="674">
        <v>0.14000000000000001</v>
      </c>
      <c r="AM52" s="542">
        <v>0.01</v>
      </c>
      <c r="AN52" s="675">
        <v>0</v>
      </c>
      <c r="AO52" s="676">
        <v>0</v>
      </c>
      <c r="AP52" s="758">
        <v>0</v>
      </c>
      <c r="AQ52" s="860">
        <v>0.01</v>
      </c>
      <c r="AR52" s="930">
        <v>0.19</v>
      </c>
      <c r="AS52" s="940">
        <v>0.03</v>
      </c>
      <c r="AT52" s="1067">
        <v>0.03</v>
      </c>
      <c r="AU52" s="1067">
        <v>0.02</v>
      </c>
      <c r="AV52" s="1067">
        <v>0.27</v>
      </c>
      <c r="AW52" s="1666">
        <v>0.09</v>
      </c>
      <c r="AX52" s="1715" t="s">
        <v>538</v>
      </c>
      <c r="AY52" s="1715">
        <v>0</v>
      </c>
      <c r="AZ52" s="1550">
        <f>IFERROR(ハダニ野帳!$BB$5/100,#N/A)</f>
        <v>0</v>
      </c>
      <c r="BA52" s="405"/>
      <c r="BB52" s="491" t="s">
        <v>228</v>
      </c>
    </row>
    <row r="53" spans="1:54">
      <c r="A53" s="403"/>
      <c r="B53" s="407"/>
      <c r="C53" s="484" t="s">
        <v>225</v>
      </c>
      <c r="D53" s="677">
        <f t="shared" ca="1" si="3"/>
        <v>0</v>
      </c>
      <c r="E53" s="645">
        <f t="shared" ca="1" si="5"/>
        <v>0.10555555555555557</v>
      </c>
      <c r="F53" s="646"/>
      <c r="G53" s="646"/>
      <c r="H53" s="647">
        <f t="shared" ca="1" si="4"/>
        <v>0.16</v>
      </c>
      <c r="I53" s="659"/>
      <c r="J53" s="413"/>
      <c r="K53" s="434"/>
      <c r="L53" s="484" t="s">
        <v>225</v>
      </c>
      <c r="M53" s="678"/>
      <c r="N53" s="678"/>
      <c r="O53" s="678">
        <v>4.8</v>
      </c>
      <c r="P53" s="678">
        <v>0.15</v>
      </c>
      <c r="Q53" s="678">
        <v>0</v>
      </c>
      <c r="R53" s="678">
        <v>0</v>
      </c>
      <c r="S53" s="678">
        <v>0.04</v>
      </c>
      <c r="T53" s="678">
        <v>0.08</v>
      </c>
      <c r="U53" s="678">
        <v>0.47</v>
      </c>
      <c r="V53" s="678">
        <v>0.02</v>
      </c>
      <c r="W53" s="678">
        <v>0.5</v>
      </c>
      <c r="X53" s="678">
        <v>1.3</v>
      </c>
      <c r="Y53" s="678">
        <v>0</v>
      </c>
      <c r="Z53" s="678">
        <v>0.1</v>
      </c>
      <c r="AA53" s="679">
        <v>0</v>
      </c>
      <c r="AB53" s="679">
        <v>0.05</v>
      </c>
      <c r="AC53" s="679">
        <v>0</v>
      </c>
      <c r="AD53" s="679">
        <v>0</v>
      </c>
      <c r="AE53" s="679">
        <v>0.02</v>
      </c>
      <c r="AF53" s="679">
        <v>0</v>
      </c>
      <c r="AG53" s="754">
        <v>0.28000000000000003</v>
      </c>
      <c r="AH53" s="679">
        <v>0</v>
      </c>
      <c r="AI53" s="679">
        <v>0</v>
      </c>
      <c r="AJ53" s="680">
        <v>0.02</v>
      </c>
      <c r="AK53" s="680">
        <v>0.03</v>
      </c>
      <c r="AL53" s="681">
        <v>0.06</v>
      </c>
      <c r="AM53" s="682">
        <v>0</v>
      </c>
      <c r="AN53" s="683">
        <v>0.01</v>
      </c>
      <c r="AO53" s="683">
        <v>0.09</v>
      </c>
      <c r="AP53" s="756">
        <v>0</v>
      </c>
      <c r="AQ53" s="858">
        <v>0</v>
      </c>
      <c r="AR53" s="928">
        <v>0.28000000000000003</v>
      </c>
      <c r="AS53" s="938">
        <v>0.03</v>
      </c>
      <c r="AT53" s="1065">
        <v>0</v>
      </c>
      <c r="AU53" s="1065">
        <v>0</v>
      </c>
      <c r="AV53" s="1065">
        <v>0.48</v>
      </c>
      <c r="AW53" s="1065">
        <v>0.16</v>
      </c>
      <c r="AX53" s="1716" t="s">
        <v>538</v>
      </c>
      <c r="AY53" s="1716">
        <v>0</v>
      </c>
      <c r="AZ53" s="933">
        <f>IFERROR(ハダニ野帳!$J$34/100,#N/A)</f>
        <v>0</v>
      </c>
      <c r="BA53" s="434"/>
      <c r="BB53" s="484" t="s">
        <v>225</v>
      </c>
    </row>
    <row r="54" spans="1:54">
      <c r="A54" s="403"/>
      <c r="B54" s="408" t="s">
        <v>229</v>
      </c>
      <c r="C54" s="491" t="s">
        <v>227</v>
      </c>
      <c r="D54" s="644">
        <f t="shared" ca="1" si="3"/>
        <v>0.01</v>
      </c>
      <c r="E54" s="656">
        <f t="shared" ca="1" si="5"/>
        <v>9.6666666666666665E-2</v>
      </c>
      <c r="F54" s="657"/>
      <c r="G54" s="657"/>
      <c r="H54" s="658">
        <f t="shared" ca="1" si="4"/>
        <v>8.7499999999999994E-2</v>
      </c>
      <c r="I54" s="659"/>
      <c r="J54" s="413"/>
      <c r="K54" s="490" t="s">
        <v>307</v>
      </c>
      <c r="L54" s="491" t="s">
        <v>227</v>
      </c>
      <c r="M54" s="660"/>
      <c r="N54" s="660"/>
      <c r="O54" s="660">
        <v>10.1</v>
      </c>
      <c r="P54" s="660">
        <v>0.18</v>
      </c>
      <c r="Q54" s="660">
        <v>0</v>
      </c>
      <c r="R54" s="660">
        <v>0</v>
      </c>
      <c r="S54" s="660">
        <v>0.05</v>
      </c>
      <c r="T54" s="660">
        <v>0.08</v>
      </c>
      <c r="U54" s="660">
        <v>0.26</v>
      </c>
      <c r="V54" s="660">
        <v>0.12</v>
      </c>
      <c r="W54" s="660">
        <v>0.9</v>
      </c>
      <c r="X54" s="660">
        <v>0.98</v>
      </c>
      <c r="Y54" s="660">
        <v>0.08</v>
      </c>
      <c r="Z54" s="660">
        <v>0.12</v>
      </c>
      <c r="AA54" s="661">
        <v>0</v>
      </c>
      <c r="AB54" s="661">
        <v>0.01</v>
      </c>
      <c r="AC54" s="661">
        <v>0.01</v>
      </c>
      <c r="AD54" s="661">
        <v>0.01</v>
      </c>
      <c r="AE54" s="661">
        <v>0</v>
      </c>
      <c r="AF54" s="661">
        <v>0.01</v>
      </c>
      <c r="AG54" s="752">
        <v>0.24</v>
      </c>
      <c r="AH54" s="661">
        <v>0</v>
      </c>
      <c r="AI54" s="661">
        <v>0</v>
      </c>
      <c r="AJ54" s="662">
        <v>2.9000000000000001E-2</v>
      </c>
      <c r="AK54" s="662">
        <f>3/100</f>
        <v>0.03</v>
      </c>
      <c r="AL54" s="663">
        <v>0.08</v>
      </c>
      <c r="AM54" s="540">
        <v>0.01</v>
      </c>
      <c r="AN54" s="664">
        <v>0</v>
      </c>
      <c r="AO54" s="665">
        <v>0.03</v>
      </c>
      <c r="AP54" s="757">
        <v>0</v>
      </c>
      <c r="AQ54" s="859">
        <v>0.03</v>
      </c>
      <c r="AR54" s="929">
        <v>0.4</v>
      </c>
      <c r="AS54" s="939">
        <v>0.08</v>
      </c>
      <c r="AT54" s="1066">
        <v>0.01</v>
      </c>
      <c r="AU54" s="1066">
        <v>0.01</v>
      </c>
      <c r="AV54" s="1066">
        <v>0.21</v>
      </c>
      <c r="AW54" s="1066">
        <v>0.13</v>
      </c>
      <c r="AX54" s="1717" t="s">
        <v>538</v>
      </c>
      <c r="AY54" s="1717">
        <v>0</v>
      </c>
      <c r="AZ54" s="934">
        <f>IFERROR(ハダニ野帳!$AF$34/100,#N/A)</f>
        <v>0.01</v>
      </c>
      <c r="BA54" s="490" t="s">
        <v>307</v>
      </c>
      <c r="BB54" s="491" t="s">
        <v>227</v>
      </c>
    </row>
    <row r="55" spans="1:54" ht="14.5" thickBot="1">
      <c r="A55" s="403"/>
      <c r="B55" s="409"/>
      <c r="C55" s="491" t="s">
        <v>228</v>
      </c>
      <c r="D55" s="684">
        <f t="shared" ca="1" si="3"/>
        <v>0.01</v>
      </c>
      <c r="E55" s="685">
        <f t="shared" ca="1" si="5"/>
        <v>0.10500000000000001</v>
      </c>
      <c r="F55" s="668"/>
      <c r="G55" s="668"/>
      <c r="H55" s="669">
        <f t="shared" ca="1" si="4"/>
        <v>0.13</v>
      </c>
      <c r="I55" s="670"/>
      <c r="J55" s="413"/>
      <c r="K55" s="508"/>
      <c r="L55" s="491" t="s">
        <v>228</v>
      </c>
      <c r="M55" s="671"/>
      <c r="N55" s="671"/>
      <c r="O55" s="671">
        <v>20.2</v>
      </c>
      <c r="P55" s="671">
        <v>0.18</v>
      </c>
      <c r="Q55" s="671">
        <v>0</v>
      </c>
      <c r="R55" s="671">
        <v>0</v>
      </c>
      <c r="S55" s="671">
        <v>0.05</v>
      </c>
      <c r="T55" s="671">
        <v>0.09</v>
      </c>
      <c r="U55" s="671">
        <v>0.04</v>
      </c>
      <c r="V55" s="671">
        <v>0.03</v>
      </c>
      <c r="W55" s="671">
        <v>2.2999999999999998</v>
      </c>
      <c r="X55" s="671">
        <v>0.82</v>
      </c>
      <c r="Y55" s="671">
        <v>0</v>
      </c>
      <c r="Z55" s="671">
        <v>0.1</v>
      </c>
      <c r="AA55" s="672">
        <v>0.02</v>
      </c>
      <c r="AB55" s="672">
        <v>0.21</v>
      </c>
      <c r="AC55" s="672">
        <v>0.1</v>
      </c>
      <c r="AD55" s="672">
        <v>0.4</v>
      </c>
      <c r="AE55" s="672">
        <v>0</v>
      </c>
      <c r="AF55" s="672">
        <v>0</v>
      </c>
      <c r="AG55" s="753">
        <v>1.18</v>
      </c>
      <c r="AH55" s="672">
        <v>0.01</v>
      </c>
      <c r="AI55" s="672">
        <v>0</v>
      </c>
      <c r="AJ55" s="673">
        <v>0.03</v>
      </c>
      <c r="AK55" s="673">
        <f>1/100</f>
        <v>0.01</v>
      </c>
      <c r="AL55" s="686">
        <v>0.03</v>
      </c>
      <c r="AM55" s="687">
        <v>0</v>
      </c>
      <c r="AN55" s="688">
        <v>0</v>
      </c>
      <c r="AO55" s="689">
        <v>0.03</v>
      </c>
      <c r="AP55" s="758">
        <v>0.04</v>
      </c>
      <c r="AQ55" s="860">
        <v>0.01</v>
      </c>
      <c r="AR55" s="930">
        <v>0.23</v>
      </c>
      <c r="AS55" s="940">
        <v>0.01</v>
      </c>
      <c r="AT55" s="1067">
        <v>0.11</v>
      </c>
      <c r="AU55" s="1067">
        <v>0.19</v>
      </c>
      <c r="AV55" s="1067">
        <v>0.08</v>
      </c>
      <c r="AW55" s="1067">
        <v>0.27</v>
      </c>
      <c r="AX55" s="1067">
        <v>0.02</v>
      </c>
      <c r="AY55" s="1067">
        <v>0.09</v>
      </c>
      <c r="AZ55" s="935">
        <f>IFERROR(ハダニ野帳!$BB$34/100,#N/A)</f>
        <v>0.01</v>
      </c>
      <c r="BA55" s="508"/>
      <c r="BB55" s="491" t="s">
        <v>228</v>
      </c>
    </row>
    <row r="56" spans="1:54">
      <c r="A56" s="403"/>
      <c r="B56" s="407"/>
      <c r="C56" s="484" t="s">
        <v>225</v>
      </c>
      <c r="D56" s="644">
        <f t="shared" ca="1" si="3"/>
        <v>0</v>
      </c>
      <c r="E56" s="656">
        <f t="shared" ca="1" si="5"/>
        <v>0.19</v>
      </c>
      <c r="F56" s="646"/>
      <c r="G56" s="646"/>
      <c r="H56" s="647">
        <f t="shared" ca="1" si="4"/>
        <v>0.188</v>
      </c>
      <c r="I56" s="659"/>
      <c r="J56" s="413"/>
      <c r="K56" s="434"/>
      <c r="L56" s="484" t="s">
        <v>225</v>
      </c>
      <c r="M56" s="678"/>
      <c r="N56" s="678"/>
      <c r="O56" s="678">
        <v>20.2</v>
      </c>
      <c r="P56" s="678">
        <v>0.6</v>
      </c>
      <c r="Q56" s="678">
        <v>0</v>
      </c>
      <c r="R56" s="678">
        <v>0</v>
      </c>
      <c r="S56" s="678">
        <v>0.05</v>
      </c>
      <c r="T56" s="678">
        <v>0.14000000000000001</v>
      </c>
      <c r="U56" s="678">
        <v>0.44</v>
      </c>
      <c r="V56" s="678">
        <v>1.64</v>
      </c>
      <c r="W56" s="678">
        <v>1.96</v>
      </c>
      <c r="X56" s="678">
        <v>1.34</v>
      </c>
      <c r="Y56" s="678">
        <v>0.14000000000000001</v>
      </c>
      <c r="Z56" s="678">
        <v>0.14000000000000001</v>
      </c>
      <c r="AA56" s="679">
        <v>0</v>
      </c>
      <c r="AB56" s="679">
        <v>0.35</v>
      </c>
      <c r="AC56" s="679">
        <v>0.42</v>
      </c>
      <c r="AD56" s="679">
        <v>0.67</v>
      </c>
      <c r="AE56" s="679">
        <v>0.28999999999999998</v>
      </c>
      <c r="AF56" s="679">
        <v>0.21</v>
      </c>
      <c r="AG56" s="754">
        <v>1.04</v>
      </c>
      <c r="AH56" s="679">
        <v>0.01</v>
      </c>
      <c r="AI56" s="679">
        <v>0.11</v>
      </c>
      <c r="AJ56" s="680">
        <f>(0.05+0.167)/2</f>
        <v>0.10850000000000001</v>
      </c>
      <c r="AK56" s="680">
        <f>2/100</f>
        <v>0.02</v>
      </c>
      <c r="AL56" s="653">
        <v>0.11</v>
      </c>
      <c r="AM56" s="539">
        <v>0.01</v>
      </c>
      <c r="AN56" s="655">
        <v>0</v>
      </c>
      <c r="AO56" s="655">
        <v>0.03</v>
      </c>
      <c r="AP56" s="756">
        <v>0.05</v>
      </c>
      <c r="AQ56" s="858">
        <v>0</v>
      </c>
      <c r="AR56" s="928">
        <v>0.81</v>
      </c>
      <c r="AS56" s="938">
        <v>0.03</v>
      </c>
      <c r="AT56" s="1065">
        <v>7.0000000000000007E-2</v>
      </c>
      <c r="AU56" s="1065">
        <v>0.22</v>
      </c>
      <c r="AV56" s="1065">
        <v>0.17</v>
      </c>
      <c r="AW56" s="1065">
        <v>0.45</v>
      </c>
      <c r="AX56" s="1065">
        <v>0.1</v>
      </c>
      <c r="AY56" s="1065">
        <v>0</v>
      </c>
      <c r="AZ56" s="933">
        <f>IFERROR(ハダニ野帳!$J$63/100,#N/A)</f>
        <v>0</v>
      </c>
      <c r="BA56" s="434"/>
      <c r="BB56" s="484" t="s">
        <v>225</v>
      </c>
    </row>
    <row r="57" spans="1:54">
      <c r="A57" s="403"/>
      <c r="B57" s="408" t="s">
        <v>230</v>
      </c>
      <c r="C57" s="491" t="s">
        <v>227</v>
      </c>
      <c r="D57" s="690">
        <f t="shared" ca="1" si="3"/>
        <v>0</v>
      </c>
      <c r="E57" s="656">
        <f t="shared" ca="1" si="5"/>
        <v>0.55899999999999994</v>
      </c>
      <c r="F57" s="657"/>
      <c r="G57" s="657"/>
      <c r="H57" s="658">
        <f t="shared" ca="1" si="4"/>
        <v>0.77599999999999991</v>
      </c>
      <c r="I57" s="659"/>
      <c r="J57" s="413"/>
      <c r="K57" s="490" t="s">
        <v>230</v>
      </c>
      <c r="L57" s="491" t="s">
        <v>227</v>
      </c>
      <c r="M57" s="660"/>
      <c r="N57" s="660"/>
      <c r="O57" s="660">
        <v>16.8</v>
      </c>
      <c r="P57" s="660">
        <v>3.2</v>
      </c>
      <c r="Q57" s="660">
        <v>0</v>
      </c>
      <c r="R57" s="660">
        <v>0</v>
      </c>
      <c r="S57" s="660">
        <v>0.31</v>
      </c>
      <c r="T57" s="660">
        <v>0.3</v>
      </c>
      <c r="U57" s="660">
        <v>1.26</v>
      </c>
      <c r="V57" s="660">
        <v>0</v>
      </c>
      <c r="W57" s="660">
        <v>7.75</v>
      </c>
      <c r="X57" s="660">
        <v>1</v>
      </c>
      <c r="Y57" s="660">
        <v>0</v>
      </c>
      <c r="Z57" s="660">
        <v>0.62</v>
      </c>
      <c r="AA57" s="661">
        <v>0.12</v>
      </c>
      <c r="AB57" s="661">
        <v>0.81</v>
      </c>
      <c r="AC57" s="661">
        <v>0.82</v>
      </c>
      <c r="AD57" s="661">
        <v>1.1000000000000001</v>
      </c>
      <c r="AE57" s="661">
        <v>1.74</v>
      </c>
      <c r="AF57" s="661">
        <v>0.02</v>
      </c>
      <c r="AG57" s="752">
        <v>1.17</v>
      </c>
      <c r="AH57" s="661">
        <v>0.09</v>
      </c>
      <c r="AI57" s="661">
        <v>0.25</v>
      </c>
      <c r="AJ57" s="662">
        <v>8.5999999999999993E-2</v>
      </c>
      <c r="AK57" s="662">
        <f>4/100</f>
        <v>0.04</v>
      </c>
      <c r="AL57" s="663">
        <v>7.0000000000000007E-2</v>
      </c>
      <c r="AM57" s="540">
        <f>4/100</f>
        <v>0.04</v>
      </c>
      <c r="AN57" s="665">
        <v>0</v>
      </c>
      <c r="AO57" s="665">
        <v>0.05</v>
      </c>
      <c r="AP57" s="757">
        <v>0.04</v>
      </c>
      <c r="AQ57" s="859">
        <v>0.01</v>
      </c>
      <c r="AR57" s="929">
        <v>1.5</v>
      </c>
      <c r="AS57" s="939">
        <v>0.05</v>
      </c>
      <c r="AT57" s="1066">
        <v>0.11</v>
      </c>
      <c r="AU57" s="1066">
        <v>1.28</v>
      </c>
      <c r="AV57" s="1066">
        <v>0.7</v>
      </c>
      <c r="AW57" s="1066">
        <v>1.88</v>
      </c>
      <c r="AX57" s="1066">
        <v>0.01</v>
      </c>
      <c r="AY57" s="1066">
        <v>0.01</v>
      </c>
      <c r="AZ57" s="934">
        <f>IFERROR(ハダニ野帳!$AF$63/100,#N/A)</f>
        <v>0</v>
      </c>
      <c r="BA57" s="490" t="s">
        <v>230</v>
      </c>
      <c r="BB57" s="491" t="s">
        <v>227</v>
      </c>
    </row>
    <row r="58" spans="1:54" ht="14.5" thickBot="1">
      <c r="A58" s="403"/>
      <c r="B58" s="409"/>
      <c r="C58" s="509" t="s">
        <v>228</v>
      </c>
      <c r="D58" s="684">
        <f t="shared" ca="1" si="3"/>
        <v>0.02</v>
      </c>
      <c r="E58" s="685">
        <f t="shared" ca="1" si="5"/>
        <v>0.78400000000000003</v>
      </c>
      <c r="F58" s="668"/>
      <c r="G58" s="668"/>
      <c r="H58" s="669">
        <f t="shared" ca="1" si="4"/>
        <v>0.90800000000000003</v>
      </c>
      <c r="I58" s="670"/>
      <c r="J58" s="413"/>
      <c r="K58" s="508"/>
      <c r="L58" s="491" t="s">
        <v>228</v>
      </c>
      <c r="M58" s="671"/>
      <c r="N58" s="671"/>
      <c r="O58" s="671">
        <v>11.4</v>
      </c>
      <c r="P58" s="671">
        <v>4.2</v>
      </c>
      <c r="Q58" s="671">
        <v>1.56</v>
      </c>
      <c r="R58" s="671">
        <v>0</v>
      </c>
      <c r="S58" s="671">
        <v>0.51</v>
      </c>
      <c r="T58" s="671">
        <v>1.74</v>
      </c>
      <c r="U58" s="671">
        <v>3.88</v>
      </c>
      <c r="V58" s="671">
        <v>0.38</v>
      </c>
      <c r="W58" s="671">
        <v>5.95</v>
      </c>
      <c r="X58" s="671">
        <v>3.93</v>
      </c>
      <c r="Y58" s="671">
        <v>0</v>
      </c>
      <c r="Z58" s="671">
        <v>1.28</v>
      </c>
      <c r="AA58" s="672">
        <v>0.56000000000000005</v>
      </c>
      <c r="AB58" s="672">
        <v>1.73</v>
      </c>
      <c r="AC58" s="672">
        <v>2.48</v>
      </c>
      <c r="AD58" s="672">
        <v>1.64</v>
      </c>
      <c r="AE58" s="672">
        <v>2.38</v>
      </c>
      <c r="AF58" s="672">
        <v>0.25</v>
      </c>
      <c r="AG58" s="753">
        <v>1.43</v>
      </c>
      <c r="AH58" s="672">
        <v>0.98</v>
      </c>
      <c r="AI58" s="672">
        <v>0</v>
      </c>
      <c r="AJ58" s="673">
        <v>2.7E-2</v>
      </c>
      <c r="AK58" s="673">
        <f>6/100</f>
        <v>0.06</v>
      </c>
      <c r="AL58" s="674">
        <v>0.08</v>
      </c>
      <c r="AM58" s="542">
        <f>3/100</f>
        <v>0.03</v>
      </c>
      <c r="AN58" s="676">
        <v>0</v>
      </c>
      <c r="AO58" s="676">
        <v>0.22</v>
      </c>
      <c r="AP58" s="758">
        <v>7.0000000000000007E-2</v>
      </c>
      <c r="AQ58" s="860">
        <v>0</v>
      </c>
      <c r="AR58" s="930">
        <v>3.21</v>
      </c>
      <c r="AS58" s="940">
        <v>0.02</v>
      </c>
      <c r="AT58" s="1067">
        <v>0</v>
      </c>
      <c r="AU58" s="1067">
        <v>0.85</v>
      </c>
      <c r="AV58" s="1067">
        <v>1.94</v>
      </c>
      <c r="AW58" s="1067">
        <v>1.63</v>
      </c>
      <c r="AX58" s="1067">
        <v>0.12</v>
      </c>
      <c r="AY58" s="1067">
        <v>0</v>
      </c>
      <c r="AZ58" s="935">
        <f>IFERROR(ハダニ野帳!$BB$63/100,#N/A)</f>
        <v>0.02</v>
      </c>
      <c r="BA58" s="508"/>
      <c r="BB58" s="491" t="s">
        <v>228</v>
      </c>
    </row>
    <row r="59" spans="1:54">
      <c r="A59" s="403"/>
      <c r="B59" s="407"/>
      <c r="C59" s="515" t="s">
        <v>225</v>
      </c>
      <c r="D59" s="644">
        <f t="shared" ca="1" si="3"/>
        <v>0.05</v>
      </c>
      <c r="E59" s="656">
        <f t="shared" ca="1" si="5"/>
        <v>0.77900000000000003</v>
      </c>
      <c r="F59" s="646"/>
      <c r="G59" s="646"/>
      <c r="H59" s="647">
        <f t="shared" ca="1" si="4"/>
        <v>0.60599999999999998</v>
      </c>
      <c r="I59" s="659"/>
      <c r="J59" s="413"/>
      <c r="K59" s="434"/>
      <c r="L59" s="484" t="s">
        <v>225</v>
      </c>
      <c r="M59" s="678"/>
      <c r="N59" s="678"/>
      <c r="O59" s="678">
        <v>6.3</v>
      </c>
      <c r="P59" s="678">
        <v>5.7</v>
      </c>
      <c r="Q59" s="678">
        <v>0.54</v>
      </c>
      <c r="R59" s="678">
        <v>0.8</v>
      </c>
      <c r="S59" s="678">
        <v>0.56000000000000005</v>
      </c>
      <c r="T59" s="678">
        <v>10.1</v>
      </c>
      <c r="U59" s="678">
        <v>2.4300000000000002</v>
      </c>
      <c r="V59" s="678">
        <v>2.2799999999999998</v>
      </c>
      <c r="W59" s="678">
        <v>2.5499999999999998</v>
      </c>
      <c r="X59" s="678">
        <v>2.63</v>
      </c>
      <c r="Y59" s="678">
        <v>0.64</v>
      </c>
      <c r="Z59" s="678">
        <v>2.7</v>
      </c>
      <c r="AA59" s="679">
        <v>0.78</v>
      </c>
      <c r="AB59" s="679">
        <v>3.81</v>
      </c>
      <c r="AC59" s="679">
        <v>3.95</v>
      </c>
      <c r="AD59" s="679">
        <v>1.55</v>
      </c>
      <c r="AE59" s="679">
        <v>1.81</v>
      </c>
      <c r="AF59" s="679">
        <v>0.6</v>
      </c>
      <c r="AG59" s="754">
        <v>2.1</v>
      </c>
      <c r="AH59" s="679">
        <v>0.24</v>
      </c>
      <c r="AI59" s="679">
        <v>0</v>
      </c>
      <c r="AJ59" s="680">
        <v>0.11799999999999999</v>
      </c>
      <c r="AK59" s="680">
        <v>0.02</v>
      </c>
      <c r="AL59" s="681">
        <f>12/100</f>
        <v>0.12</v>
      </c>
      <c r="AM59" s="682">
        <f>6/100</f>
        <v>0.06</v>
      </c>
      <c r="AN59" s="683">
        <v>0.98</v>
      </c>
      <c r="AO59" s="683">
        <v>0.03</v>
      </c>
      <c r="AP59" s="756">
        <v>0.32</v>
      </c>
      <c r="AQ59" s="858">
        <v>0.02</v>
      </c>
      <c r="AR59" s="928">
        <v>3.96</v>
      </c>
      <c r="AS59" s="938">
        <v>0.3</v>
      </c>
      <c r="AT59" s="1065">
        <v>0.16</v>
      </c>
      <c r="AU59" s="1065">
        <v>0.01</v>
      </c>
      <c r="AV59" s="1065">
        <v>2.33</v>
      </c>
      <c r="AW59" s="1065">
        <v>0.48</v>
      </c>
      <c r="AX59" s="1065">
        <v>0.21</v>
      </c>
      <c r="AY59" s="1065">
        <v>0</v>
      </c>
      <c r="AZ59" s="933">
        <f>IFERROR(ハダニ野帳!$J$92/100,#N/A)</f>
        <v>0.05</v>
      </c>
      <c r="BA59" s="434"/>
      <c r="BB59" s="484" t="s">
        <v>225</v>
      </c>
    </row>
    <row r="60" spans="1:54">
      <c r="A60" s="403"/>
      <c r="B60" s="408" t="s">
        <v>231</v>
      </c>
      <c r="C60" s="491" t="s">
        <v>227</v>
      </c>
      <c r="D60" s="690">
        <f t="shared" ca="1" si="3"/>
        <v>0.03</v>
      </c>
      <c r="E60" s="656">
        <f t="shared" ca="1" si="5"/>
        <v>0.61699999999999999</v>
      </c>
      <c r="F60" s="657"/>
      <c r="G60" s="657"/>
      <c r="H60" s="658">
        <f t="shared" ca="1" si="4"/>
        <v>1.054</v>
      </c>
      <c r="I60" s="659"/>
      <c r="J60" s="413"/>
      <c r="K60" s="490" t="s">
        <v>231</v>
      </c>
      <c r="L60" s="491" t="s">
        <v>227</v>
      </c>
      <c r="M60" s="660"/>
      <c r="N60" s="660"/>
      <c r="O60" s="660">
        <v>10.5</v>
      </c>
      <c r="P60" s="660">
        <v>6.5</v>
      </c>
      <c r="Q60" s="660">
        <v>1.8</v>
      </c>
      <c r="R60" s="660">
        <v>0</v>
      </c>
      <c r="S60" s="660">
        <v>5</v>
      </c>
      <c r="T60" s="660">
        <v>23.7</v>
      </c>
      <c r="U60" s="660">
        <v>1.48</v>
      </c>
      <c r="V60" s="660">
        <v>0.76</v>
      </c>
      <c r="W60" s="660">
        <v>5.75</v>
      </c>
      <c r="X60" s="660">
        <v>3.44</v>
      </c>
      <c r="Y60" s="660">
        <v>0</v>
      </c>
      <c r="Z60" s="660">
        <v>5.0999999999999996</v>
      </c>
      <c r="AA60" s="661">
        <v>3.5</v>
      </c>
      <c r="AB60" s="661">
        <v>2.2000000000000002</v>
      </c>
      <c r="AC60" s="661">
        <v>1.1499999999999999</v>
      </c>
      <c r="AD60" s="661">
        <v>1.29</v>
      </c>
      <c r="AE60" s="661">
        <v>1.58</v>
      </c>
      <c r="AF60" s="661">
        <v>0.01</v>
      </c>
      <c r="AG60" s="752">
        <v>1.55</v>
      </c>
      <c r="AH60" s="661">
        <v>0.04</v>
      </c>
      <c r="AI60" s="661">
        <v>0</v>
      </c>
      <c r="AJ60" s="662">
        <v>0.01</v>
      </c>
      <c r="AK60" s="662">
        <v>1.1100000000000001</v>
      </c>
      <c r="AL60" s="663">
        <v>0.21</v>
      </c>
      <c r="AM60" s="540">
        <f>35/100</f>
        <v>0.35</v>
      </c>
      <c r="AN60" s="665">
        <v>0.42</v>
      </c>
      <c r="AO60" s="665">
        <v>0.09</v>
      </c>
      <c r="AP60" s="757">
        <v>0.02</v>
      </c>
      <c r="AQ60" s="859">
        <v>0.05</v>
      </c>
      <c r="AR60" s="929">
        <v>0.21</v>
      </c>
      <c r="AS60" s="939">
        <v>0.57999999999999996</v>
      </c>
      <c r="AT60" s="1066">
        <v>0.04</v>
      </c>
      <c r="AU60" s="1066">
        <v>0.15</v>
      </c>
      <c r="AV60" s="1066">
        <v>3.29</v>
      </c>
      <c r="AW60" s="1066">
        <v>1.71</v>
      </c>
      <c r="AX60" s="1066">
        <v>0.12</v>
      </c>
      <c r="AY60" s="1066">
        <v>0</v>
      </c>
      <c r="AZ60" s="934">
        <f>IFERROR(ハダニ野帳!$AF$92/100,#N/A)</f>
        <v>0.03</v>
      </c>
      <c r="BA60" s="490" t="s">
        <v>231</v>
      </c>
      <c r="BB60" s="491" t="s">
        <v>227</v>
      </c>
    </row>
    <row r="61" spans="1:54" ht="14.5" thickBot="1">
      <c r="A61" s="403"/>
      <c r="B61" s="409"/>
      <c r="C61" s="491" t="s">
        <v>228</v>
      </c>
      <c r="D61" s="666">
        <f t="shared" ca="1" si="3"/>
        <v>0</v>
      </c>
      <c r="E61" s="667">
        <f t="shared" ca="1" si="5"/>
        <v>0.20699999999999999</v>
      </c>
      <c r="F61" s="668"/>
      <c r="G61" s="668"/>
      <c r="H61" s="669">
        <f t="shared" ca="1" si="4"/>
        <v>0.374</v>
      </c>
      <c r="I61" s="670"/>
      <c r="J61" s="413"/>
      <c r="K61" s="508"/>
      <c r="L61" s="491" t="s">
        <v>228</v>
      </c>
      <c r="M61" s="671"/>
      <c r="N61" s="671"/>
      <c r="O61" s="671">
        <v>8.6</v>
      </c>
      <c r="P61" s="671">
        <v>4.76</v>
      </c>
      <c r="Q61" s="671">
        <v>0.06</v>
      </c>
      <c r="R61" s="671">
        <v>0.6</v>
      </c>
      <c r="S61" s="671">
        <v>4.4400000000000004</v>
      </c>
      <c r="T61" s="671">
        <v>4.2300000000000004</v>
      </c>
      <c r="U61" s="671">
        <v>3</v>
      </c>
      <c r="V61" s="671">
        <v>1.08</v>
      </c>
      <c r="W61" s="671">
        <v>7.9</v>
      </c>
      <c r="X61" s="671">
        <v>0.61</v>
      </c>
      <c r="Y61" s="671">
        <v>0</v>
      </c>
      <c r="Z61" s="671">
        <v>0.57999999999999996</v>
      </c>
      <c r="AA61" s="672">
        <v>0.47</v>
      </c>
      <c r="AB61" s="672">
        <v>1.9</v>
      </c>
      <c r="AC61" s="672">
        <v>0.15</v>
      </c>
      <c r="AD61" s="672">
        <v>1.44</v>
      </c>
      <c r="AE61" s="672">
        <v>1.43</v>
      </c>
      <c r="AF61" s="672">
        <v>0.15</v>
      </c>
      <c r="AG61" s="753">
        <v>1.18</v>
      </c>
      <c r="AH61" s="672">
        <v>0.19</v>
      </c>
      <c r="AI61" s="672">
        <v>0</v>
      </c>
      <c r="AJ61" s="673">
        <v>0.11799999999999999</v>
      </c>
      <c r="AK61" s="673">
        <v>0.35</v>
      </c>
      <c r="AL61" s="686">
        <f>8/100</f>
        <v>0.08</v>
      </c>
      <c r="AM61" s="687">
        <v>0.25</v>
      </c>
      <c r="AN61" s="689">
        <v>0.28000000000000003</v>
      </c>
      <c r="AO61" s="689">
        <v>7.0000000000000007E-2</v>
      </c>
      <c r="AP61" s="759">
        <v>0.04</v>
      </c>
      <c r="AQ61" s="861">
        <v>0</v>
      </c>
      <c r="AR61" s="931">
        <v>0.16</v>
      </c>
      <c r="AS61" s="941">
        <v>0</v>
      </c>
      <c r="AT61" s="1068">
        <v>0</v>
      </c>
      <c r="AU61" s="1068">
        <v>0.01</v>
      </c>
      <c r="AV61" s="1068">
        <v>0.94</v>
      </c>
      <c r="AW61" s="1068">
        <v>0.78</v>
      </c>
      <c r="AX61" s="1068">
        <v>0.14000000000000001</v>
      </c>
      <c r="AY61" s="1068">
        <v>0</v>
      </c>
      <c r="AZ61" s="936">
        <f>IFERROR(ハダニ野帳!$BB$92/100,#N/A)</f>
        <v>0</v>
      </c>
      <c r="BA61" s="508"/>
      <c r="BB61" s="491" t="s">
        <v>228</v>
      </c>
    </row>
    <row r="62" spans="1:54">
      <c r="A62" s="403"/>
      <c r="B62" s="407"/>
      <c r="C62" s="484" t="s">
        <v>225</v>
      </c>
      <c r="D62" s="677">
        <f t="shared" ca="1" si="3"/>
        <v>0</v>
      </c>
      <c r="E62" s="645">
        <f t="shared" ca="1" si="5"/>
        <v>9.7000000000000003E-2</v>
      </c>
      <c r="F62" s="646"/>
      <c r="G62" s="646"/>
      <c r="H62" s="647">
        <f t="shared" ca="1" si="4"/>
        <v>0.14599999999999999</v>
      </c>
      <c r="I62" s="659"/>
      <c r="J62" s="413"/>
      <c r="K62" s="434"/>
      <c r="L62" s="484" t="s">
        <v>225</v>
      </c>
      <c r="M62" s="678"/>
      <c r="N62" s="678"/>
      <c r="O62" s="678">
        <v>3.1</v>
      </c>
      <c r="P62" s="678">
        <v>4</v>
      </c>
      <c r="Q62" s="678">
        <v>0.16</v>
      </c>
      <c r="R62" s="678">
        <v>3.73</v>
      </c>
      <c r="S62" s="678">
        <v>16.38</v>
      </c>
      <c r="T62" s="678">
        <v>1.6</v>
      </c>
      <c r="U62" s="678">
        <v>5.5</v>
      </c>
      <c r="V62" s="678">
        <v>0.16</v>
      </c>
      <c r="W62" s="678">
        <v>1.8</v>
      </c>
      <c r="X62" s="678">
        <v>0</v>
      </c>
      <c r="Y62" s="678">
        <v>0</v>
      </c>
      <c r="Z62" s="678">
        <v>2.2799999999999998</v>
      </c>
      <c r="AA62" s="679">
        <v>0.02</v>
      </c>
      <c r="AB62" s="679">
        <v>0.64</v>
      </c>
      <c r="AC62" s="679">
        <v>0.42</v>
      </c>
      <c r="AD62" s="679">
        <v>0.55000000000000004</v>
      </c>
      <c r="AE62" s="679">
        <v>1.31</v>
      </c>
      <c r="AF62" s="679">
        <v>0.34</v>
      </c>
      <c r="AG62" s="754">
        <v>0.75</v>
      </c>
      <c r="AH62" s="679">
        <v>0.46</v>
      </c>
      <c r="AI62" s="679">
        <v>0</v>
      </c>
      <c r="AJ62" s="680">
        <v>0</v>
      </c>
      <c r="AK62" s="680">
        <v>0.55000000000000004</v>
      </c>
      <c r="AL62" s="653">
        <f>2/100</f>
        <v>0.02</v>
      </c>
      <c r="AM62" s="539">
        <f>4/100</f>
        <v>0.04</v>
      </c>
      <c r="AN62" s="655">
        <v>0.64</v>
      </c>
      <c r="AO62" s="655">
        <v>0.01</v>
      </c>
      <c r="AP62" s="760">
        <v>0.03</v>
      </c>
      <c r="AQ62" s="862">
        <v>0</v>
      </c>
      <c r="AR62" s="932">
        <v>0.02</v>
      </c>
      <c r="AS62" s="942">
        <v>7.0000000000000007E-2</v>
      </c>
      <c r="AT62" s="1069">
        <v>0.12</v>
      </c>
      <c r="AU62" s="1069">
        <v>0.01</v>
      </c>
      <c r="AV62" s="1069">
        <v>0.42</v>
      </c>
      <c r="AW62" s="1069">
        <v>0.3</v>
      </c>
      <c r="AX62" s="1069">
        <v>0</v>
      </c>
      <c r="AY62" s="1069">
        <v>0</v>
      </c>
      <c r="AZ62" s="937">
        <f>IFERROR(ハダニ野帳!$J$121/100,#N/A)</f>
        <v>0</v>
      </c>
      <c r="BA62" s="434"/>
      <c r="BB62" s="484" t="s">
        <v>225</v>
      </c>
    </row>
    <row r="63" spans="1:54">
      <c r="A63" s="403"/>
      <c r="B63" s="408" t="s">
        <v>232</v>
      </c>
      <c r="C63" s="491" t="s">
        <v>227</v>
      </c>
      <c r="D63" s="690">
        <f t="shared" ca="1" si="3"/>
        <v>0</v>
      </c>
      <c r="E63" s="656">
        <f t="shared" ca="1" si="5"/>
        <v>7.2999999999999995E-2</v>
      </c>
      <c r="F63" s="657"/>
      <c r="G63" s="657"/>
      <c r="H63" s="658">
        <f t="shared" ca="1" si="4"/>
        <v>0.13399999999999998</v>
      </c>
      <c r="I63" s="659"/>
      <c r="J63" s="413"/>
      <c r="K63" s="490" t="s">
        <v>232</v>
      </c>
      <c r="L63" s="491" t="s">
        <v>227</v>
      </c>
      <c r="M63" s="660"/>
      <c r="N63" s="660"/>
      <c r="O63" s="660">
        <v>0.2</v>
      </c>
      <c r="P63" s="660">
        <v>5.76</v>
      </c>
      <c r="Q63" s="660">
        <v>0.24</v>
      </c>
      <c r="R63" s="660">
        <v>0.9</v>
      </c>
      <c r="S63" s="660">
        <v>11.7</v>
      </c>
      <c r="T63" s="660">
        <v>0.6</v>
      </c>
      <c r="U63" s="660">
        <v>1</v>
      </c>
      <c r="V63" s="660">
        <v>0.24</v>
      </c>
      <c r="W63" s="660">
        <v>0.74</v>
      </c>
      <c r="X63" s="660">
        <v>0</v>
      </c>
      <c r="Y63" s="660">
        <v>0</v>
      </c>
      <c r="Z63" s="660">
        <v>0.66</v>
      </c>
      <c r="AA63" s="661">
        <v>0</v>
      </c>
      <c r="AB63" s="661">
        <v>1.01</v>
      </c>
      <c r="AC63" s="661">
        <v>0.01</v>
      </c>
      <c r="AD63" s="661">
        <v>0.12</v>
      </c>
      <c r="AE63" s="661">
        <v>0.15</v>
      </c>
      <c r="AF63" s="661">
        <v>0</v>
      </c>
      <c r="AG63" s="752">
        <v>0.31</v>
      </c>
      <c r="AH63" s="661">
        <v>0.11</v>
      </c>
      <c r="AI63" s="661">
        <v>0</v>
      </c>
      <c r="AJ63" s="662">
        <v>0</v>
      </c>
      <c r="AK63" s="662">
        <v>0.19</v>
      </c>
      <c r="AL63" s="663">
        <v>0.01</v>
      </c>
      <c r="AM63" s="540">
        <f>12/100</f>
        <v>0.12</v>
      </c>
      <c r="AN63" s="665">
        <v>0.28999999999999998</v>
      </c>
      <c r="AO63" s="665">
        <v>0.19</v>
      </c>
      <c r="AP63" s="757">
        <v>0.03</v>
      </c>
      <c r="AQ63" s="859">
        <v>0</v>
      </c>
      <c r="AR63" s="929">
        <v>0.01</v>
      </c>
      <c r="AS63" s="939">
        <v>0.02</v>
      </c>
      <c r="AT63" s="1066">
        <v>0</v>
      </c>
      <c r="AU63" s="1066">
        <v>0.18</v>
      </c>
      <c r="AV63" s="1066">
        <v>0.16</v>
      </c>
      <c r="AW63" s="1066">
        <v>0.33</v>
      </c>
      <c r="AX63" s="1066">
        <v>0</v>
      </c>
      <c r="AY63" s="1066">
        <v>0</v>
      </c>
      <c r="AZ63" s="934">
        <f>IFERROR(ハダニ野帳!$AF$121/100,#N/A)</f>
        <v>0</v>
      </c>
      <c r="BA63" s="490" t="s">
        <v>232</v>
      </c>
      <c r="BB63" s="491" t="s">
        <v>227</v>
      </c>
    </row>
    <row r="64" spans="1:54" ht="14.5" thickBot="1">
      <c r="A64" s="403"/>
      <c r="B64" s="409"/>
      <c r="C64" s="612" t="s">
        <v>228</v>
      </c>
      <c r="D64" s="691">
        <f t="shared" ca="1" si="3"/>
        <v>5.0000000000000001E-3</v>
      </c>
      <c r="E64" s="667">
        <f t="shared" ca="1" si="5"/>
        <v>9.0499999999999997E-2</v>
      </c>
      <c r="F64" s="668"/>
      <c r="G64" s="668"/>
      <c r="H64" s="669">
        <f t="shared" ca="1" si="4"/>
        <v>0.16099999999999998</v>
      </c>
      <c r="I64" s="670"/>
      <c r="J64" s="413"/>
      <c r="K64" s="508"/>
      <c r="L64" s="491" t="s">
        <v>228</v>
      </c>
      <c r="M64" s="671"/>
      <c r="N64" s="671"/>
      <c r="O64" s="671">
        <v>0.1</v>
      </c>
      <c r="P64" s="671">
        <v>2.64</v>
      </c>
      <c r="Q64" s="671">
        <v>0.06</v>
      </c>
      <c r="R64" s="671">
        <v>9.9</v>
      </c>
      <c r="S64" s="671">
        <v>1</v>
      </c>
      <c r="T64" s="671">
        <v>0.43</v>
      </c>
      <c r="U64" s="671">
        <v>1.92</v>
      </c>
      <c r="V64" s="671">
        <v>0.12</v>
      </c>
      <c r="W64" s="671">
        <v>0.57999999999999996</v>
      </c>
      <c r="X64" s="671">
        <v>0</v>
      </c>
      <c r="Y64" s="671">
        <v>0</v>
      </c>
      <c r="Z64" s="671">
        <v>0.31</v>
      </c>
      <c r="AA64" s="672">
        <v>0.05</v>
      </c>
      <c r="AB64" s="672">
        <v>2.37</v>
      </c>
      <c r="AC64" s="672">
        <v>0</v>
      </c>
      <c r="AD64" s="672">
        <v>0.37</v>
      </c>
      <c r="AE64" s="672">
        <v>1.96</v>
      </c>
      <c r="AF64" s="672">
        <v>0</v>
      </c>
      <c r="AG64" s="753">
        <v>0.23</v>
      </c>
      <c r="AH64" s="672">
        <v>0.35</v>
      </c>
      <c r="AI64" s="672">
        <v>0</v>
      </c>
      <c r="AJ64" s="673">
        <v>0</v>
      </c>
      <c r="AK64" s="673">
        <v>7.0000000000000007E-2</v>
      </c>
      <c r="AL64" s="674">
        <f>13/100</f>
        <v>0.13</v>
      </c>
      <c r="AM64" s="542">
        <f>139/100</f>
        <v>1.39</v>
      </c>
      <c r="AN64" s="676">
        <v>0.05</v>
      </c>
      <c r="AO64" s="676">
        <v>0.08</v>
      </c>
      <c r="AP64" s="759">
        <v>0</v>
      </c>
      <c r="AQ64" s="861">
        <v>0.01</v>
      </c>
      <c r="AR64" s="931">
        <v>0</v>
      </c>
      <c r="AS64" s="941">
        <v>0.02</v>
      </c>
      <c r="AT64" s="1068">
        <v>7.0000000000000007E-2</v>
      </c>
      <c r="AU64" s="1068">
        <v>0.05</v>
      </c>
      <c r="AV64" s="1068">
        <v>0.03</v>
      </c>
      <c r="AW64" s="1068">
        <v>0.72499999999999998</v>
      </c>
      <c r="AX64" s="1068">
        <v>0</v>
      </c>
      <c r="AY64" s="1068">
        <v>0</v>
      </c>
      <c r="AZ64" s="936">
        <f>IFERROR(ハダニ野帳!$BB$121/200,#N/A)</f>
        <v>5.0000000000000001E-3</v>
      </c>
      <c r="BA64" s="508"/>
      <c r="BB64" s="491" t="s">
        <v>228</v>
      </c>
    </row>
    <row r="65" spans="1:54">
      <c r="A65" s="403"/>
      <c r="B65" s="407"/>
      <c r="C65" s="484" t="s">
        <v>225</v>
      </c>
      <c r="D65" s="677">
        <f t="shared" ca="1" si="3"/>
        <v>0</v>
      </c>
      <c r="E65" s="645">
        <f t="shared" ca="1" si="5"/>
        <v>6.4000000000000015E-2</v>
      </c>
      <c r="F65" s="646"/>
      <c r="G65" s="646"/>
      <c r="H65" s="647">
        <f t="shared" ca="1" si="4"/>
        <v>8.199999999999999E-2</v>
      </c>
      <c r="I65" s="659"/>
      <c r="J65" s="413"/>
      <c r="K65" s="434"/>
      <c r="L65" s="484" t="s">
        <v>225</v>
      </c>
      <c r="M65" s="678"/>
      <c r="N65" s="678"/>
      <c r="O65" s="678">
        <v>0.4</v>
      </c>
      <c r="P65" s="678">
        <v>2.52</v>
      </c>
      <c r="Q65" s="678">
        <v>0.02</v>
      </c>
      <c r="R65" s="678">
        <v>5.7</v>
      </c>
      <c r="S65" s="678">
        <v>1.3</v>
      </c>
      <c r="T65" s="678">
        <v>0.1</v>
      </c>
      <c r="U65" s="678">
        <v>4.0999999999999996</v>
      </c>
      <c r="V65" s="678">
        <v>0.36</v>
      </c>
      <c r="W65" s="678">
        <v>0.04</v>
      </c>
      <c r="X65" s="678">
        <v>0</v>
      </c>
      <c r="Y65" s="678">
        <v>1.1499999999999999</v>
      </c>
      <c r="Z65" s="678">
        <v>7.0000000000000007E-2</v>
      </c>
      <c r="AA65" s="679">
        <v>0.73</v>
      </c>
      <c r="AB65" s="679">
        <v>1.87</v>
      </c>
      <c r="AC65" s="679">
        <v>0.08</v>
      </c>
      <c r="AD65" s="679">
        <v>0.56000000000000005</v>
      </c>
      <c r="AE65" s="679">
        <v>0.62</v>
      </c>
      <c r="AF65" s="679">
        <v>0</v>
      </c>
      <c r="AG65" s="754">
        <v>0.39</v>
      </c>
      <c r="AH65" s="679">
        <v>7.0000000000000007E-2</v>
      </c>
      <c r="AI65" s="679">
        <v>0.11</v>
      </c>
      <c r="AJ65" s="680">
        <v>0</v>
      </c>
      <c r="AK65" s="680">
        <v>0.22</v>
      </c>
      <c r="AL65" s="681">
        <f>5/100</f>
        <v>0.05</v>
      </c>
      <c r="AM65" s="682">
        <v>0.12</v>
      </c>
      <c r="AN65" s="683">
        <v>0</v>
      </c>
      <c r="AO65" s="683">
        <v>0</v>
      </c>
      <c r="AP65" s="760">
        <v>0.1</v>
      </c>
      <c r="AQ65" s="862">
        <v>0</v>
      </c>
      <c r="AR65" s="932">
        <v>0</v>
      </c>
      <c r="AS65" s="942">
        <v>0</v>
      </c>
      <c r="AT65" s="1069">
        <v>0.13</v>
      </c>
      <c r="AU65" s="1069">
        <v>0.01</v>
      </c>
      <c r="AV65" s="1069">
        <v>0.03</v>
      </c>
      <c r="AW65" s="1069">
        <v>0.33</v>
      </c>
      <c r="AX65" s="1069">
        <v>0</v>
      </c>
      <c r="AY65" s="1069">
        <v>0.04</v>
      </c>
      <c r="AZ65" s="937">
        <f>IFERROR(ハダニ野帳!$J$150/100,#N/A)</f>
        <v>0</v>
      </c>
      <c r="BA65" s="434"/>
      <c r="BB65" s="484" t="s">
        <v>225</v>
      </c>
    </row>
    <row r="66" spans="1:54">
      <c r="A66" s="403"/>
      <c r="B66" s="408" t="s">
        <v>233</v>
      </c>
      <c r="C66" s="491" t="s">
        <v>227</v>
      </c>
      <c r="D66" s="690">
        <f t="shared" ca="1" si="3"/>
        <v>0</v>
      </c>
      <c r="E66" s="656">
        <f t="shared" ca="1" si="5"/>
        <v>2.8000000000000004E-2</v>
      </c>
      <c r="F66" s="657"/>
      <c r="G66" s="657"/>
      <c r="H66" s="658">
        <f t="shared" ca="1" si="4"/>
        <v>3.5999999999999997E-2</v>
      </c>
      <c r="I66" s="659"/>
      <c r="J66" s="413"/>
      <c r="K66" s="490" t="s">
        <v>233</v>
      </c>
      <c r="L66" s="491" t="s">
        <v>227</v>
      </c>
      <c r="M66" s="660"/>
      <c r="N66" s="660"/>
      <c r="O66" s="660">
        <v>1.5</v>
      </c>
      <c r="P66" s="660">
        <v>0.08</v>
      </c>
      <c r="Q66" s="660">
        <v>0.2</v>
      </c>
      <c r="R66" s="660">
        <v>12.26</v>
      </c>
      <c r="S66" s="660">
        <v>1.04</v>
      </c>
      <c r="T66" s="660">
        <v>0</v>
      </c>
      <c r="U66" s="660">
        <v>1.5</v>
      </c>
      <c r="V66" s="660">
        <v>0.44</v>
      </c>
      <c r="W66" s="660">
        <v>0</v>
      </c>
      <c r="X66" s="660">
        <v>0</v>
      </c>
      <c r="Y66" s="660">
        <v>0.88</v>
      </c>
      <c r="Z66" s="660">
        <v>0.25</v>
      </c>
      <c r="AA66" s="661">
        <v>0.45</v>
      </c>
      <c r="AB66" s="661">
        <v>2.02</v>
      </c>
      <c r="AC66" s="661">
        <v>0.09</v>
      </c>
      <c r="AD66" s="661">
        <v>0.01</v>
      </c>
      <c r="AE66" s="661">
        <v>0.04</v>
      </c>
      <c r="AF66" s="661">
        <v>0</v>
      </c>
      <c r="AG66" s="752">
        <v>0</v>
      </c>
      <c r="AH66" s="661">
        <v>0.04</v>
      </c>
      <c r="AI66" s="661">
        <v>0.03</v>
      </c>
      <c r="AJ66" s="662">
        <v>0</v>
      </c>
      <c r="AK66" s="662">
        <v>0.22</v>
      </c>
      <c r="AL66" s="663">
        <f>5/100</f>
        <v>0.05</v>
      </c>
      <c r="AM66" s="540">
        <v>5.3097345132743362E-2</v>
      </c>
      <c r="AN66" s="665">
        <v>0.01</v>
      </c>
      <c r="AO66" s="665">
        <v>0</v>
      </c>
      <c r="AP66" s="757">
        <v>0.01</v>
      </c>
      <c r="AQ66" s="859">
        <v>0</v>
      </c>
      <c r="AR66" s="929">
        <v>0</v>
      </c>
      <c r="AS66" s="939">
        <v>0</v>
      </c>
      <c r="AT66" s="1066">
        <v>0.09</v>
      </c>
      <c r="AU66" s="1066">
        <v>0.01</v>
      </c>
      <c r="AV66" s="1066">
        <v>0</v>
      </c>
      <c r="AW66" s="1066">
        <v>0.15</v>
      </c>
      <c r="AX66" s="1066">
        <v>0.02</v>
      </c>
      <c r="AY66" s="1066">
        <v>0</v>
      </c>
      <c r="AZ66" s="934">
        <f>IFERROR(ハダニ野帳!$AF$150/100,#N/A)</f>
        <v>0</v>
      </c>
      <c r="BA66" s="490" t="s">
        <v>233</v>
      </c>
      <c r="BB66" s="491" t="s">
        <v>227</v>
      </c>
    </row>
    <row r="67" spans="1:54" ht="14.5" thickBot="1">
      <c r="A67" s="403"/>
      <c r="B67" s="409"/>
      <c r="C67" s="491" t="s">
        <v>228</v>
      </c>
      <c r="D67" s="684" t="e">
        <f t="shared" ca="1" si="3"/>
        <v>#N/A</v>
      </c>
      <c r="E67" s="685">
        <f t="shared" ca="1" si="5"/>
        <v>0.02</v>
      </c>
      <c r="F67" s="668"/>
      <c r="G67" s="668"/>
      <c r="H67" s="669">
        <f t="shared" ca="1" si="4"/>
        <v>3.7999999999999999E-2</v>
      </c>
      <c r="I67" s="670"/>
      <c r="J67" s="413"/>
      <c r="K67" s="508"/>
      <c r="L67" s="491" t="s">
        <v>228</v>
      </c>
      <c r="M67" s="671"/>
      <c r="N67" s="671"/>
      <c r="O67" s="671">
        <v>3.2</v>
      </c>
      <c r="P67" s="671">
        <v>0.16</v>
      </c>
      <c r="Q67" s="671">
        <v>0</v>
      </c>
      <c r="R67" s="671">
        <v>11.96</v>
      </c>
      <c r="S67" s="671">
        <v>7.0000000000000007E-2</v>
      </c>
      <c r="T67" s="671">
        <v>0</v>
      </c>
      <c r="U67" s="671">
        <v>1.1000000000000001</v>
      </c>
      <c r="V67" s="671">
        <v>0.56000000000000005</v>
      </c>
      <c r="W67" s="671">
        <v>0</v>
      </c>
      <c r="X67" s="671">
        <v>0.08</v>
      </c>
      <c r="Y67" s="671">
        <v>0.16</v>
      </c>
      <c r="Z67" s="671">
        <v>0.01</v>
      </c>
      <c r="AA67" s="672">
        <v>7.0000000000000007E-2</v>
      </c>
      <c r="AB67" s="672">
        <v>0.16</v>
      </c>
      <c r="AC67" s="672">
        <v>0.01</v>
      </c>
      <c r="AD67" s="672">
        <v>0.01</v>
      </c>
      <c r="AE67" s="672">
        <v>0</v>
      </c>
      <c r="AF67" s="672">
        <v>0.24</v>
      </c>
      <c r="AG67" s="753">
        <v>0.02</v>
      </c>
      <c r="AH67" s="672">
        <v>0.01</v>
      </c>
      <c r="AI67" s="672">
        <v>1.5</v>
      </c>
      <c r="AJ67" s="673">
        <v>0</v>
      </c>
      <c r="AK67" s="673">
        <v>0.05</v>
      </c>
      <c r="AL67" s="686">
        <f>5/100</f>
        <v>0.05</v>
      </c>
      <c r="AM67" s="687">
        <v>0</v>
      </c>
      <c r="AN67" s="689">
        <v>0</v>
      </c>
      <c r="AO67" s="689">
        <v>0</v>
      </c>
      <c r="AP67" s="759">
        <v>0</v>
      </c>
      <c r="AQ67" s="861">
        <v>0</v>
      </c>
      <c r="AR67" s="931">
        <v>0</v>
      </c>
      <c r="AS67" s="941">
        <v>0.01</v>
      </c>
      <c r="AT67" s="1068">
        <v>0</v>
      </c>
      <c r="AU67" s="1068">
        <v>0.01</v>
      </c>
      <c r="AV67" s="1068">
        <v>0.01</v>
      </c>
      <c r="AW67" s="1066">
        <v>0.17</v>
      </c>
      <c r="AX67" s="1066">
        <v>0</v>
      </c>
      <c r="AY67" s="1066">
        <v>0</v>
      </c>
      <c r="AZ67" s="934" t="e">
        <f>IFERROR(ハダニ野帳!$BB$150/100,#N/A)</f>
        <v>#N/A</v>
      </c>
      <c r="BA67" s="508"/>
      <c r="BB67" s="491" t="s">
        <v>228</v>
      </c>
    </row>
    <row r="68" spans="1:54">
      <c r="A68" s="403"/>
      <c r="B68" s="407"/>
      <c r="C68" s="484" t="s">
        <v>225</v>
      </c>
      <c r="D68" s="644" t="e">
        <f t="shared" ca="1" si="3"/>
        <v>#N/A</v>
      </c>
      <c r="E68" s="656">
        <f t="shared" ca="1" si="5"/>
        <v>5.2000000000000005E-2</v>
      </c>
      <c r="F68" s="646"/>
      <c r="G68" s="646"/>
      <c r="H68" s="647">
        <f t="shared" ca="1" si="4"/>
        <v>7.7999999999999986E-2</v>
      </c>
      <c r="I68" s="692"/>
      <c r="J68" s="413"/>
      <c r="K68" s="434"/>
      <c r="L68" s="484" t="s">
        <v>225</v>
      </c>
      <c r="M68" s="678"/>
      <c r="N68" s="678"/>
      <c r="O68" s="678">
        <v>0.7</v>
      </c>
      <c r="P68" s="678">
        <v>0</v>
      </c>
      <c r="Q68" s="678">
        <v>0.28000000000000003</v>
      </c>
      <c r="R68" s="678">
        <v>4.5199999999999996</v>
      </c>
      <c r="S68" s="678">
        <v>0</v>
      </c>
      <c r="T68" s="678">
        <v>0</v>
      </c>
      <c r="U68" s="678">
        <v>0.02</v>
      </c>
      <c r="V68" s="678">
        <v>0.16</v>
      </c>
      <c r="W68" s="678">
        <v>0.04</v>
      </c>
      <c r="X68" s="678">
        <v>0.72</v>
      </c>
      <c r="Y68" s="678">
        <v>0.16</v>
      </c>
      <c r="Z68" s="678">
        <v>0</v>
      </c>
      <c r="AA68" s="679">
        <v>0.13</v>
      </c>
      <c r="AB68" s="679">
        <v>0.03</v>
      </c>
      <c r="AC68" s="679">
        <v>0</v>
      </c>
      <c r="AD68" s="679">
        <v>0</v>
      </c>
      <c r="AE68" s="679">
        <v>0.02</v>
      </c>
      <c r="AF68" s="679">
        <v>0.56999999999999995</v>
      </c>
      <c r="AG68" s="754">
        <v>0</v>
      </c>
      <c r="AH68" s="679">
        <v>0</v>
      </c>
      <c r="AI68" s="679">
        <v>0.06</v>
      </c>
      <c r="AJ68" s="680">
        <v>0</v>
      </c>
      <c r="AK68" s="680">
        <v>0.05</v>
      </c>
      <c r="AL68" s="653">
        <v>0</v>
      </c>
      <c r="AM68" s="539">
        <v>0</v>
      </c>
      <c r="AN68" s="655">
        <v>0</v>
      </c>
      <c r="AO68" s="655">
        <v>0</v>
      </c>
      <c r="AP68" s="760">
        <v>0.09</v>
      </c>
      <c r="AQ68" s="862">
        <v>0</v>
      </c>
      <c r="AR68" s="932">
        <v>0.02</v>
      </c>
      <c r="AS68" s="942">
        <v>0</v>
      </c>
      <c r="AT68" s="1069">
        <v>0.02</v>
      </c>
      <c r="AU68" s="1069">
        <v>0</v>
      </c>
      <c r="AV68" s="1069">
        <v>0.03</v>
      </c>
      <c r="AW68" s="1069">
        <v>0.02</v>
      </c>
      <c r="AX68" s="1069">
        <v>0.3</v>
      </c>
      <c r="AY68" s="1069">
        <v>0.04</v>
      </c>
      <c r="AZ68" s="937" t="e">
        <f>IFERROR(ハダニ野帳!$J$179/100,#N/A)</f>
        <v>#N/A</v>
      </c>
      <c r="BA68" s="434"/>
      <c r="BB68" s="484" t="s">
        <v>225</v>
      </c>
    </row>
    <row r="69" spans="1:54">
      <c r="A69" s="403"/>
      <c r="B69" s="408" t="s">
        <v>234</v>
      </c>
      <c r="C69" s="491" t="s">
        <v>227</v>
      </c>
      <c r="D69" s="690" t="e">
        <f t="shared" ca="1" si="3"/>
        <v>#N/A</v>
      </c>
      <c r="E69" s="656">
        <f t="shared" ca="1" si="5"/>
        <v>4.4000000000000004E-2</v>
      </c>
      <c r="F69" s="657"/>
      <c r="G69" s="657"/>
      <c r="H69" s="658">
        <f t="shared" ca="1" si="4"/>
        <v>6.6000000000000003E-2</v>
      </c>
      <c r="I69" s="659"/>
      <c r="J69" s="413"/>
      <c r="K69" s="490" t="s">
        <v>234</v>
      </c>
      <c r="L69" s="491" t="s">
        <v>227</v>
      </c>
      <c r="M69" s="660"/>
      <c r="N69" s="660"/>
      <c r="O69" s="660">
        <v>0.04</v>
      </c>
      <c r="P69" s="660">
        <v>0</v>
      </c>
      <c r="Q69" s="660">
        <v>0.1</v>
      </c>
      <c r="R69" s="660">
        <v>0.02</v>
      </c>
      <c r="S69" s="660">
        <v>0</v>
      </c>
      <c r="T69" s="660">
        <v>0.11</v>
      </c>
      <c r="U69" s="660">
        <v>0.7</v>
      </c>
      <c r="V69" s="660">
        <v>0.62</v>
      </c>
      <c r="W69" s="660">
        <v>0</v>
      </c>
      <c r="X69" s="660">
        <v>5.64</v>
      </c>
      <c r="Y69" s="660">
        <v>0.01</v>
      </c>
      <c r="Z69" s="660">
        <v>0</v>
      </c>
      <c r="AA69" s="661">
        <v>0.08</v>
      </c>
      <c r="AB69" s="661">
        <v>0.02</v>
      </c>
      <c r="AC69" s="661">
        <v>0.13</v>
      </c>
      <c r="AD69" s="661">
        <v>1.35</v>
      </c>
      <c r="AE69" s="661">
        <v>0</v>
      </c>
      <c r="AF69" s="661">
        <v>1.1599999999999999</v>
      </c>
      <c r="AG69" s="752">
        <v>0.02</v>
      </c>
      <c r="AH69" s="661">
        <v>0.02</v>
      </c>
      <c r="AI69" s="661">
        <v>0.02</v>
      </c>
      <c r="AJ69" s="662">
        <v>0.01</v>
      </c>
      <c r="AK69" s="662">
        <v>0.22</v>
      </c>
      <c r="AL69" s="663">
        <f>2/100</f>
        <v>0.02</v>
      </c>
      <c r="AM69" s="540">
        <v>0</v>
      </c>
      <c r="AN69" s="665">
        <v>0.03</v>
      </c>
      <c r="AO69" s="665">
        <v>0.01</v>
      </c>
      <c r="AP69" s="757">
        <v>7.0000000000000007E-2</v>
      </c>
      <c r="AQ69" s="859">
        <v>0</v>
      </c>
      <c r="AR69" s="929">
        <v>0.04</v>
      </c>
      <c r="AS69" s="939">
        <v>0</v>
      </c>
      <c r="AT69" s="1066">
        <v>0</v>
      </c>
      <c r="AU69" s="1066">
        <v>0</v>
      </c>
      <c r="AV69" s="1066">
        <v>0.19</v>
      </c>
      <c r="AW69" s="1066">
        <v>0</v>
      </c>
      <c r="AX69" s="1066">
        <v>0.01</v>
      </c>
      <c r="AY69" s="1066">
        <v>0.13</v>
      </c>
      <c r="AZ69" s="934" t="e">
        <f>IFERROR(ハダニ野帳!$AF$179/100,#N/A)</f>
        <v>#N/A</v>
      </c>
      <c r="BA69" s="490" t="s">
        <v>234</v>
      </c>
      <c r="BB69" s="491" t="s">
        <v>227</v>
      </c>
    </row>
    <row r="70" spans="1:54" ht="14.5" thickBot="1">
      <c r="A70" s="403"/>
      <c r="B70" s="409"/>
      <c r="C70" s="509" t="s">
        <v>228</v>
      </c>
      <c r="D70" s="684" t="e">
        <f t="shared" ca="1" si="3"/>
        <v>#N/A</v>
      </c>
      <c r="E70" s="685">
        <f t="shared" ca="1" si="5"/>
        <v>0.186</v>
      </c>
      <c r="F70" s="668"/>
      <c r="G70" s="668"/>
      <c r="H70" s="669">
        <f t="shared" ca="1" si="4"/>
        <v>0.29799999999999999</v>
      </c>
      <c r="I70" s="670"/>
      <c r="J70" s="413"/>
      <c r="K70" s="508"/>
      <c r="L70" s="491" t="s">
        <v>228</v>
      </c>
      <c r="M70" s="671"/>
      <c r="N70" s="671"/>
      <c r="O70" s="671">
        <v>0</v>
      </c>
      <c r="P70" s="671">
        <v>0.06</v>
      </c>
      <c r="Q70" s="671">
        <v>0</v>
      </c>
      <c r="R70" s="671">
        <v>0</v>
      </c>
      <c r="S70" s="671">
        <v>0</v>
      </c>
      <c r="T70" s="671">
        <v>0.28000000000000003</v>
      </c>
      <c r="U70" s="671">
        <v>0.04</v>
      </c>
      <c r="V70" s="671">
        <v>0.06</v>
      </c>
      <c r="W70" s="671">
        <v>0</v>
      </c>
      <c r="X70" s="671">
        <v>2.2200000000000002</v>
      </c>
      <c r="Y70" s="671">
        <v>0</v>
      </c>
      <c r="Z70" s="671">
        <v>0.4</v>
      </c>
      <c r="AA70" s="672">
        <v>0.12</v>
      </c>
      <c r="AB70" s="672">
        <v>0</v>
      </c>
      <c r="AC70" s="672">
        <v>0.06</v>
      </c>
      <c r="AD70" s="672">
        <v>1.46</v>
      </c>
      <c r="AE70" s="672">
        <v>0</v>
      </c>
      <c r="AF70" s="672">
        <v>1.57</v>
      </c>
      <c r="AG70" s="753">
        <v>0.21</v>
      </c>
      <c r="AH70" s="672">
        <v>0.05</v>
      </c>
      <c r="AI70" s="672">
        <v>0</v>
      </c>
      <c r="AJ70" s="673">
        <v>0</v>
      </c>
      <c r="AK70" s="673">
        <v>0.06</v>
      </c>
      <c r="AL70" s="674">
        <v>0.04</v>
      </c>
      <c r="AM70" s="542">
        <v>0</v>
      </c>
      <c r="AN70" s="676">
        <v>0.02</v>
      </c>
      <c r="AO70" s="676">
        <v>0</v>
      </c>
      <c r="AP70" s="759">
        <v>0.36</v>
      </c>
      <c r="AQ70" s="861">
        <v>0</v>
      </c>
      <c r="AR70" s="931">
        <v>0.01</v>
      </c>
      <c r="AS70" s="941">
        <v>0</v>
      </c>
      <c r="AT70" s="1068">
        <v>0</v>
      </c>
      <c r="AU70" s="1068">
        <v>0.13</v>
      </c>
      <c r="AV70" s="1068">
        <v>0.7</v>
      </c>
      <c r="AW70" s="1068">
        <v>0</v>
      </c>
      <c r="AX70" s="1068">
        <v>0.02</v>
      </c>
      <c r="AY70" s="1068">
        <v>0.64</v>
      </c>
      <c r="AZ70" s="936" t="e">
        <f>IFERROR(ハダニ野帳!$BB$179/100,#N/A)</f>
        <v>#N/A</v>
      </c>
      <c r="BA70" s="508"/>
      <c r="BB70" s="491" t="s">
        <v>228</v>
      </c>
    </row>
    <row r="71" spans="1:54">
      <c r="A71" s="403"/>
      <c r="B71" s="407"/>
      <c r="C71" s="515" t="s">
        <v>225</v>
      </c>
      <c r="D71" s="644" t="e">
        <f t="shared" ca="1" si="3"/>
        <v>#N/A</v>
      </c>
      <c r="E71" s="656">
        <f t="shared" ca="1" si="5"/>
        <v>0.08</v>
      </c>
      <c r="F71" s="646"/>
      <c r="G71" s="646"/>
      <c r="H71" s="647">
        <f t="shared" ca="1" si="4"/>
        <v>5.4000000000000006E-2</v>
      </c>
      <c r="I71" s="692"/>
      <c r="J71" s="413"/>
      <c r="K71" s="434"/>
      <c r="L71" s="484" t="s">
        <v>225</v>
      </c>
      <c r="M71" s="678"/>
      <c r="N71" s="678"/>
      <c r="O71" s="678">
        <v>0</v>
      </c>
      <c r="P71" s="678">
        <v>0.62</v>
      </c>
      <c r="Q71" s="678">
        <v>1.76</v>
      </c>
      <c r="R71" s="678">
        <v>0</v>
      </c>
      <c r="S71" s="678">
        <v>0</v>
      </c>
      <c r="T71" s="678">
        <v>0.54</v>
      </c>
      <c r="U71" s="678">
        <v>1.74</v>
      </c>
      <c r="V71" s="678">
        <v>1.53</v>
      </c>
      <c r="W71" s="678">
        <v>0.08</v>
      </c>
      <c r="X71" s="678">
        <v>0.08</v>
      </c>
      <c r="Y71" s="678">
        <v>0.16</v>
      </c>
      <c r="Z71" s="678">
        <v>1.4</v>
      </c>
      <c r="AA71" s="679">
        <v>0.02</v>
      </c>
      <c r="AB71" s="679">
        <v>0.06</v>
      </c>
      <c r="AC71" s="679">
        <v>0</v>
      </c>
      <c r="AD71" s="679">
        <v>0.62</v>
      </c>
      <c r="AE71" s="679">
        <v>0.44</v>
      </c>
      <c r="AF71" s="679">
        <v>0.17</v>
      </c>
      <c r="AG71" s="754">
        <v>0.23</v>
      </c>
      <c r="AH71" s="679">
        <v>0.03</v>
      </c>
      <c r="AI71" s="679">
        <f>2/200</f>
        <v>0.01</v>
      </c>
      <c r="AJ71" s="680">
        <v>0.01</v>
      </c>
      <c r="AK71" s="680">
        <v>0.22</v>
      </c>
      <c r="AL71" s="681">
        <v>0.08</v>
      </c>
      <c r="AM71" s="682">
        <v>0</v>
      </c>
      <c r="AN71" s="683">
        <v>0</v>
      </c>
      <c r="AO71" s="683">
        <v>0</v>
      </c>
      <c r="AP71" s="760">
        <v>0.5</v>
      </c>
      <c r="AQ71" s="862">
        <v>0</v>
      </c>
      <c r="AR71" s="932">
        <v>0</v>
      </c>
      <c r="AS71" s="942">
        <v>0.01</v>
      </c>
      <c r="AT71" s="1069">
        <v>0.02</v>
      </c>
      <c r="AU71" s="1069">
        <v>0.03</v>
      </c>
      <c r="AV71" s="1069">
        <v>0.11</v>
      </c>
      <c r="AW71" s="1069">
        <v>0.05</v>
      </c>
      <c r="AX71" s="1069">
        <v>0.01</v>
      </c>
      <c r="AY71" s="1069">
        <v>7.0000000000000007E-2</v>
      </c>
      <c r="AZ71" s="937" t="e">
        <f>IFERROR(ハダニ野帳!$J$208/100,#N/A)</f>
        <v>#N/A</v>
      </c>
      <c r="BA71" s="434"/>
      <c r="BB71" s="484" t="s">
        <v>225</v>
      </c>
    </row>
    <row r="72" spans="1:54">
      <c r="A72" s="403"/>
      <c r="B72" s="408" t="s">
        <v>235</v>
      </c>
      <c r="C72" s="491" t="s">
        <v>227</v>
      </c>
      <c r="D72" s="644" t="e">
        <f t="shared" ca="1" si="3"/>
        <v>#N/A</v>
      </c>
      <c r="E72" s="656">
        <f t="shared" ca="1" si="5"/>
        <v>0.312</v>
      </c>
      <c r="F72" s="657"/>
      <c r="G72" s="657"/>
      <c r="H72" s="658">
        <f t="shared" ca="1" si="4"/>
        <v>0.26400000000000001</v>
      </c>
      <c r="I72" s="659"/>
      <c r="J72" s="413"/>
      <c r="K72" s="490" t="s">
        <v>235</v>
      </c>
      <c r="L72" s="491" t="s">
        <v>227</v>
      </c>
      <c r="M72" s="660"/>
      <c r="N72" s="660"/>
      <c r="O72" s="660">
        <v>0</v>
      </c>
      <c r="P72" s="660">
        <v>4.88</v>
      </c>
      <c r="Q72" s="660">
        <v>12.62</v>
      </c>
      <c r="R72" s="660">
        <v>0.04</v>
      </c>
      <c r="S72" s="660">
        <v>0</v>
      </c>
      <c r="T72" s="660">
        <v>0.35</v>
      </c>
      <c r="U72" s="660">
        <v>0.62</v>
      </c>
      <c r="V72" s="660">
        <v>3.9E-2</v>
      </c>
      <c r="W72" s="660">
        <v>0</v>
      </c>
      <c r="X72" s="660">
        <v>0.72</v>
      </c>
      <c r="Y72" s="660">
        <v>0.75</v>
      </c>
      <c r="Z72" s="660">
        <v>0.54</v>
      </c>
      <c r="AA72" s="661">
        <v>0.01</v>
      </c>
      <c r="AB72" s="661">
        <v>0.15</v>
      </c>
      <c r="AC72" s="661">
        <v>0</v>
      </c>
      <c r="AD72" s="661">
        <v>0.04</v>
      </c>
      <c r="AE72" s="661">
        <v>0.8</v>
      </c>
      <c r="AF72" s="661">
        <v>0.21</v>
      </c>
      <c r="AG72" s="752">
        <v>1.1499999999999999</v>
      </c>
      <c r="AH72" s="661">
        <v>1.03</v>
      </c>
      <c r="AI72" s="661">
        <f>5/200</f>
        <v>2.5000000000000001E-2</v>
      </c>
      <c r="AJ72" s="662">
        <f>3/100</f>
        <v>0.03</v>
      </c>
      <c r="AK72" s="662">
        <v>0.68</v>
      </c>
      <c r="AL72" s="663">
        <v>0.52</v>
      </c>
      <c r="AM72" s="540">
        <v>0.05</v>
      </c>
      <c r="AN72" s="665">
        <v>0.01</v>
      </c>
      <c r="AO72" s="665">
        <v>0</v>
      </c>
      <c r="AP72" s="757">
        <v>1.35</v>
      </c>
      <c r="AQ72" s="859">
        <v>0</v>
      </c>
      <c r="AR72" s="929">
        <v>0</v>
      </c>
      <c r="AS72" s="939">
        <v>0</v>
      </c>
      <c r="AT72" s="1066">
        <v>0.45</v>
      </c>
      <c r="AU72" s="1066">
        <v>0.03</v>
      </c>
      <c r="AV72" s="1066">
        <v>0.01</v>
      </c>
      <c r="AW72" s="1066">
        <v>1.1399999999999999</v>
      </c>
      <c r="AX72" s="1066">
        <v>0.06</v>
      </c>
      <c r="AY72" s="1066">
        <v>0.08</v>
      </c>
      <c r="AZ72" s="934" t="e">
        <f>IFERROR(ハダニ野帳!$AF$208/100,#N/A)</f>
        <v>#N/A</v>
      </c>
      <c r="BA72" s="490" t="s">
        <v>235</v>
      </c>
      <c r="BB72" s="491" t="s">
        <v>227</v>
      </c>
    </row>
    <row r="73" spans="1:54" ht="14.5" thickBot="1">
      <c r="A73" s="403"/>
      <c r="B73" s="409"/>
      <c r="C73" s="491" t="s">
        <v>228</v>
      </c>
      <c r="D73" s="691" t="e">
        <f t="shared" ca="1" si="3"/>
        <v>#N/A</v>
      </c>
      <c r="E73" s="685">
        <f t="shared" ca="1" si="5"/>
        <v>0.29399999999999998</v>
      </c>
      <c r="F73" s="668"/>
      <c r="G73" s="668"/>
      <c r="H73" s="669">
        <f t="shared" ca="1" si="4"/>
        <v>0.20400000000000001</v>
      </c>
      <c r="I73" s="670"/>
      <c r="J73" s="413"/>
      <c r="K73" s="508"/>
      <c r="L73" s="491" t="s">
        <v>228</v>
      </c>
      <c r="M73" s="671"/>
      <c r="N73" s="671"/>
      <c r="O73" s="671">
        <v>0</v>
      </c>
      <c r="P73" s="671">
        <v>1.42</v>
      </c>
      <c r="Q73" s="671">
        <v>1.1599999999999999</v>
      </c>
      <c r="R73" s="671">
        <v>0.62</v>
      </c>
      <c r="S73" s="671">
        <v>0</v>
      </c>
      <c r="T73" s="671">
        <v>0.37</v>
      </c>
      <c r="U73" s="671">
        <v>1.25</v>
      </c>
      <c r="V73" s="671">
        <v>0.26</v>
      </c>
      <c r="W73" s="671">
        <v>0.08</v>
      </c>
      <c r="X73" s="671">
        <v>0.2</v>
      </c>
      <c r="Y73" s="671">
        <v>0.65</v>
      </c>
      <c r="Z73" s="671">
        <v>0.73</v>
      </c>
      <c r="AA73" s="672">
        <v>0.01</v>
      </c>
      <c r="AB73" s="672">
        <v>0.45</v>
      </c>
      <c r="AC73" s="672">
        <v>0.01</v>
      </c>
      <c r="AD73" s="672">
        <v>0</v>
      </c>
      <c r="AE73" s="672">
        <v>0.42</v>
      </c>
      <c r="AF73" s="672">
        <v>0.27</v>
      </c>
      <c r="AG73" s="753">
        <v>0.42</v>
      </c>
      <c r="AH73" s="672">
        <v>0.01</v>
      </c>
      <c r="AI73" s="672">
        <v>0</v>
      </c>
      <c r="AJ73" s="673">
        <v>0.05</v>
      </c>
      <c r="AK73" s="673">
        <v>0.65</v>
      </c>
      <c r="AL73" s="686">
        <f>1/100</f>
        <v>0.01</v>
      </c>
      <c r="AM73" s="687">
        <f>71/200</f>
        <v>0.35499999999999998</v>
      </c>
      <c r="AN73" s="689">
        <v>0</v>
      </c>
      <c r="AO73" s="689">
        <v>0</v>
      </c>
      <c r="AP73" s="759">
        <v>0.26</v>
      </c>
      <c r="AQ73" s="861">
        <v>0.05</v>
      </c>
      <c r="AR73" s="931">
        <v>0.1</v>
      </c>
      <c r="AS73" s="941">
        <v>0.01</v>
      </c>
      <c r="AT73" s="1068">
        <v>1.5</v>
      </c>
      <c r="AU73" s="1068">
        <v>0.08</v>
      </c>
      <c r="AV73" s="1068">
        <v>0.21</v>
      </c>
      <c r="AW73" s="1068">
        <v>0.04</v>
      </c>
      <c r="AX73" s="1068">
        <v>0.5</v>
      </c>
      <c r="AY73" s="1068">
        <v>0.19</v>
      </c>
      <c r="AZ73" s="936" t="e">
        <f>IFERROR(ハダニ野帳!$BB$208/100,#N/A)</f>
        <v>#N/A</v>
      </c>
      <c r="BA73" s="508"/>
      <c r="BB73" s="491" t="s">
        <v>228</v>
      </c>
    </row>
    <row r="74" spans="1:54">
      <c r="A74" s="403"/>
      <c r="B74" s="407"/>
      <c r="C74" s="484" t="s">
        <v>225</v>
      </c>
      <c r="D74" s="677" t="e">
        <f t="shared" ca="1" si="3"/>
        <v>#N/A</v>
      </c>
      <c r="E74" s="656">
        <f t="shared" ca="1" si="5"/>
        <v>0.152</v>
      </c>
      <c r="F74" s="646"/>
      <c r="G74" s="646"/>
      <c r="H74" s="647">
        <f t="shared" ca="1" si="4"/>
        <v>6.2000000000000013E-2</v>
      </c>
      <c r="I74" s="659"/>
      <c r="J74" s="413"/>
      <c r="K74" s="434"/>
      <c r="L74" s="484" t="s">
        <v>225</v>
      </c>
      <c r="M74" s="678"/>
      <c r="N74" s="678"/>
      <c r="O74" s="678">
        <v>0</v>
      </c>
      <c r="P74" s="678">
        <v>0.06</v>
      </c>
      <c r="Q74" s="678">
        <v>0.72</v>
      </c>
      <c r="R74" s="678">
        <v>2.4</v>
      </c>
      <c r="S74" s="678">
        <v>0</v>
      </c>
      <c r="T74" s="678">
        <v>0.08</v>
      </c>
      <c r="U74" s="678">
        <v>0.8</v>
      </c>
      <c r="V74" s="678">
        <v>0.12</v>
      </c>
      <c r="W74" s="678">
        <v>1.1000000000000001</v>
      </c>
      <c r="X74" s="678">
        <v>0.26</v>
      </c>
      <c r="Y74" s="678">
        <v>0.87</v>
      </c>
      <c r="Z74" s="678">
        <v>0</v>
      </c>
      <c r="AA74" s="679">
        <v>0</v>
      </c>
      <c r="AB74" s="679">
        <v>0.04</v>
      </c>
      <c r="AC74" s="679">
        <v>0.01</v>
      </c>
      <c r="AD74" s="679">
        <v>0.05</v>
      </c>
      <c r="AE74" s="679">
        <v>1.74</v>
      </c>
      <c r="AF74" s="679">
        <v>0</v>
      </c>
      <c r="AG74" s="754">
        <v>0.05</v>
      </c>
      <c r="AH74" s="679">
        <v>0</v>
      </c>
      <c r="AI74" s="679">
        <f>146/200</f>
        <v>0.73</v>
      </c>
      <c r="AJ74" s="680">
        <v>0.06</v>
      </c>
      <c r="AK74" s="680">
        <v>0.03</v>
      </c>
      <c r="AL74" s="653">
        <v>0.02</v>
      </c>
      <c r="AM74" s="539">
        <f>10/200</f>
        <v>0.05</v>
      </c>
      <c r="AN74" s="655">
        <v>0</v>
      </c>
      <c r="AO74" s="655">
        <v>0.02</v>
      </c>
      <c r="AP74" s="760">
        <v>0.02</v>
      </c>
      <c r="AQ74" s="862">
        <v>0.05</v>
      </c>
      <c r="AR74" s="932">
        <v>0</v>
      </c>
      <c r="AS74" s="942">
        <v>0.01</v>
      </c>
      <c r="AT74" s="1069">
        <v>1.1299999999999999</v>
      </c>
      <c r="AU74" s="1069">
        <v>0</v>
      </c>
      <c r="AV74" s="1069">
        <v>0.1</v>
      </c>
      <c r="AW74" s="1069">
        <v>0.04</v>
      </c>
      <c r="AX74" s="1069">
        <v>0.16</v>
      </c>
      <c r="AY74" s="1069">
        <v>0.01</v>
      </c>
      <c r="AZ74" s="937" t="e">
        <f>IFERROR(ハダニ野帳!$J$237/100,#N/A)</f>
        <v>#N/A</v>
      </c>
      <c r="BA74" s="434"/>
      <c r="BB74" s="484" t="s">
        <v>225</v>
      </c>
    </row>
    <row r="75" spans="1:54">
      <c r="A75" s="403"/>
      <c r="B75" s="408" t="s">
        <v>236</v>
      </c>
      <c r="C75" s="491" t="s">
        <v>227</v>
      </c>
      <c r="D75" s="690" t="e">
        <f t="shared" ca="1" si="3"/>
        <v>#N/A</v>
      </c>
      <c r="E75" s="656">
        <f t="shared" ca="1" si="5"/>
        <v>4.9000000000000002E-2</v>
      </c>
      <c r="F75" s="657"/>
      <c r="G75" s="657"/>
      <c r="H75" s="658">
        <f t="shared" ca="1" si="4"/>
        <v>1.2E-2</v>
      </c>
      <c r="I75" s="659"/>
      <c r="J75" s="413"/>
      <c r="K75" s="490" t="s">
        <v>236</v>
      </c>
      <c r="L75" s="491" t="s">
        <v>227</v>
      </c>
      <c r="M75" s="660"/>
      <c r="N75" s="660"/>
      <c r="O75" s="660">
        <v>0</v>
      </c>
      <c r="P75" s="660">
        <v>0.22</v>
      </c>
      <c r="Q75" s="660">
        <v>2.2599999999999998</v>
      </c>
      <c r="R75" s="660">
        <v>8.1</v>
      </c>
      <c r="S75" s="660">
        <v>0.1</v>
      </c>
      <c r="T75" s="660">
        <v>0.66</v>
      </c>
      <c r="U75" s="660">
        <v>0.7</v>
      </c>
      <c r="V75" s="660">
        <v>0.04</v>
      </c>
      <c r="W75" s="660">
        <v>2.42</v>
      </c>
      <c r="X75" s="660">
        <v>0.13</v>
      </c>
      <c r="Y75" s="660">
        <v>0.06</v>
      </c>
      <c r="Z75" s="660">
        <v>0</v>
      </c>
      <c r="AA75" s="661">
        <v>0</v>
      </c>
      <c r="AB75" s="661">
        <v>0.01</v>
      </c>
      <c r="AC75" s="661">
        <v>7.0000000000000007E-2</v>
      </c>
      <c r="AD75" s="661">
        <v>0.02</v>
      </c>
      <c r="AE75" s="661">
        <v>0.12</v>
      </c>
      <c r="AF75" s="661">
        <v>0.03</v>
      </c>
      <c r="AG75" s="752">
        <v>0</v>
      </c>
      <c r="AH75" s="661">
        <v>0.01</v>
      </c>
      <c r="AI75" s="661">
        <f>29/100</f>
        <v>0.28999999999999998</v>
      </c>
      <c r="AJ75" s="662">
        <f>4/300</f>
        <v>1.3333333333333334E-2</v>
      </c>
      <c r="AK75" s="662">
        <v>0.02</v>
      </c>
      <c r="AL75" s="663">
        <v>0.02</v>
      </c>
      <c r="AM75" s="540">
        <v>0.02</v>
      </c>
      <c r="AN75" s="665">
        <v>0.08</v>
      </c>
      <c r="AO75" s="665">
        <v>7.0000000000000007E-2</v>
      </c>
      <c r="AP75" s="757">
        <v>0</v>
      </c>
      <c r="AQ75" s="859">
        <v>0.19</v>
      </c>
      <c r="AR75" s="929">
        <v>0</v>
      </c>
      <c r="AS75" s="939">
        <v>0.08</v>
      </c>
      <c r="AT75" s="1066">
        <v>0.16</v>
      </c>
      <c r="AU75" s="1066">
        <v>0</v>
      </c>
      <c r="AV75" s="1066">
        <v>0</v>
      </c>
      <c r="AW75" s="1066">
        <v>0</v>
      </c>
      <c r="AX75" s="1066">
        <v>0.01</v>
      </c>
      <c r="AY75" s="1066">
        <v>0.05</v>
      </c>
      <c r="AZ75" s="934" t="e">
        <f>IFERROR(ハダニ野帳!$AF$237/100,#N/A)</f>
        <v>#N/A</v>
      </c>
      <c r="BA75" s="490" t="s">
        <v>236</v>
      </c>
      <c r="BB75" s="491" t="s">
        <v>227</v>
      </c>
    </row>
    <row r="76" spans="1:54" ht="14.5" thickBot="1">
      <c r="A76" s="403"/>
      <c r="B76" s="409"/>
      <c r="C76" s="612" t="s">
        <v>228</v>
      </c>
      <c r="D76" s="691" t="e">
        <f t="shared" ca="1" si="3"/>
        <v>#N/A</v>
      </c>
      <c r="E76" s="667">
        <f t="shared" ca="1" si="5"/>
        <v>1.7999999999999999E-2</v>
      </c>
      <c r="F76" s="668"/>
      <c r="G76" s="668"/>
      <c r="H76" s="669">
        <f t="shared" ca="1" si="4"/>
        <v>1.2E-2</v>
      </c>
      <c r="I76" s="670"/>
      <c r="J76" s="413"/>
      <c r="K76" s="508"/>
      <c r="L76" s="491" t="s">
        <v>228</v>
      </c>
      <c r="M76" s="671"/>
      <c r="N76" s="671"/>
      <c r="O76" s="671">
        <v>0</v>
      </c>
      <c r="P76" s="671">
        <v>0.04</v>
      </c>
      <c r="Q76" s="671">
        <v>0.96</v>
      </c>
      <c r="R76" s="671">
        <v>12.12</v>
      </c>
      <c r="S76" s="671">
        <v>2.95</v>
      </c>
      <c r="T76" s="671">
        <v>0.43</v>
      </c>
      <c r="U76" s="671">
        <v>0.2</v>
      </c>
      <c r="V76" s="671">
        <v>0</v>
      </c>
      <c r="W76" s="671">
        <v>0.7</v>
      </c>
      <c r="X76" s="671">
        <v>0</v>
      </c>
      <c r="Y76" s="671">
        <v>0</v>
      </c>
      <c r="Z76" s="671">
        <v>0.18</v>
      </c>
      <c r="AA76" s="672">
        <v>0</v>
      </c>
      <c r="AB76" s="672">
        <v>0.05</v>
      </c>
      <c r="AC76" s="672">
        <v>0.13</v>
      </c>
      <c r="AD76" s="672">
        <v>0</v>
      </c>
      <c r="AE76" s="672">
        <v>0.04</v>
      </c>
      <c r="AF76" s="672">
        <v>0</v>
      </c>
      <c r="AG76" s="753">
        <v>0</v>
      </c>
      <c r="AH76" s="672">
        <v>0</v>
      </c>
      <c r="AI76" s="672">
        <v>7.67</v>
      </c>
      <c r="AJ76" s="673">
        <v>0.01</v>
      </c>
      <c r="AK76" s="673">
        <v>0</v>
      </c>
      <c r="AL76" s="674">
        <v>0.02</v>
      </c>
      <c r="AM76" s="542">
        <v>0</v>
      </c>
      <c r="AN76" s="676">
        <v>0.34</v>
      </c>
      <c r="AO76" s="676">
        <v>0.03</v>
      </c>
      <c r="AP76" s="759">
        <v>0</v>
      </c>
      <c r="AQ76" s="861">
        <v>0.12</v>
      </c>
      <c r="AR76" s="931">
        <v>0</v>
      </c>
      <c r="AS76" s="941">
        <v>0</v>
      </c>
      <c r="AT76" s="1068">
        <v>0</v>
      </c>
      <c r="AU76" s="1068">
        <v>0.05</v>
      </c>
      <c r="AV76" s="1068">
        <v>0</v>
      </c>
      <c r="AW76" s="1068">
        <v>0</v>
      </c>
      <c r="AX76" s="1068">
        <v>0</v>
      </c>
      <c r="AY76" s="1068">
        <v>0.01</v>
      </c>
      <c r="AZ76" s="936" t="e">
        <f>IFERROR(ハダニ野帳!$BB$237/100,#N/A)</f>
        <v>#N/A</v>
      </c>
      <c r="BA76" s="508"/>
      <c r="BB76" s="491" t="s">
        <v>228</v>
      </c>
    </row>
    <row r="77" spans="1:54">
      <c r="A77" s="403"/>
      <c r="B77" s="407"/>
      <c r="C77" s="484" t="s">
        <v>225</v>
      </c>
      <c r="D77" s="677" t="e">
        <f t="shared" ca="1" si="3"/>
        <v>#N/A</v>
      </c>
      <c r="E77" s="645">
        <f t="shared" ca="1" si="5"/>
        <v>0.13699999999999998</v>
      </c>
      <c r="F77" s="646"/>
      <c r="G77" s="646"/>
      <c r="H77" s="647">
        <f t="shared" ca="1" si="4"/>
        <v>3.4000000000000002E-2</v>
      </c>
      <c r="I77" s="659"/>
      <c r="J77" s="413"/>
      <c r="K77" s="434"/>
      <c r="L77" s="484" t="s">
        <v>225</v>
      </c>
      <c r="M77" s="678"/>
      <c r="N77" s="678"/>
      <c r="O77" s="678">
        <v>0</v>
      </c>
      <c r="P77" s="678">
        <v>0.1</v>
      </c>
      <c r="Q77" s="678">
        <v>0.16</v>
      </c>
      <c r="R77" s="678">
        <v>6.18</v>
      </c>
      <c r="S77" s="678">
        <v>3.33</v>
      </c>
      <c r="T77" s="678">
        <v>0.3</v>
      </c>
      <c r="U77" s="678">
        <v>0.1</v>
      </c>
      <c r="V77" s="678">
        <v>0.06</v>
      </c>
      <c r="W77" s="678">
        <v>2.2799999999999998</v>
      </c>
      <c r="X77" s="678">
        <v>0</v>
      </c>
      <c r="Y77" s="678">
        <v>0</v>
      </c>
      <c r="Z77" s="678">
        <v>0</v>
      </c>
      <c r="AA77" s="679">
        <v>0.2</v>
      </c>
      <c r="AB77" s="679">
        <v>0</v>
      </c>
      <c r="AC77" s="679">
        <v>0.01</v>
      </c>
      <c r="AD77" s="679">
        <v>0</v>
      </c>
      <c r="AE77" s="679">
        <v>0</v>
      </c>
      <c r="AF77" s="679">
        <v>0</v>
      </c>
      <c r="AG77" s="754">
        <v>0.03</v>
      </c>
      <c r="AH77" s="679">
        <v>0.01</v>
      </c>
      <c r="AI77" s="679">
        <f>(3.59+0.7)/2</f>
        <v>2.145</v>
      </c>
      <c r="AJ77" s="680">
        <v>0</v>
      </c>
      <c r="AK77" s="680">
        <v>0.04</v>
      </c>
      <c r="AL77" s="681">
        <v>0</v>
      </c>
      <c r="AM77" s="682">
        <v>0.01</v>
      </c>
      <c r="AN77" s="683">
        <v>0.89</v>
      </c>
      <c r="AO77" s="683">
        <v>0.06</v>
      </c>
      <c r="AP77" s="760">
        <v>0</v>
      </c>
      <c r="AQ77" s="862">
        <v>0.86</v>
      </c>
      <c r="AR77" s="932">
        <v>0</v>
      </c>
      <c r="AS77" s="942">
        <v>0.13</v>
      </c>
      <c r="AT77" s="1069">
        <v>0.21</v>
      </c>
      <c r="AU77" s="1069">
        <v>0.02</v>
      </c>
      <c r="AV77" s="1069">
        <v>0</v>
      </c>
      <c r="AW77" s="1069">
        <v>0.14000000000000001</v>
      </c>
      <c r="AX77" s="1069">
        <v>0</v>
      </c>
      <c r="AY77" s="1069">
        <v>0.01</v>
      </c>
      <c r="AZ77" s="937" t="e">
        <f>IFERROR(ハダニ野帳!$J$266/100,#N/A)</f>
        <v>#N/A</v>
      </c>
      <c r="BA77" s="434"/>
      <c r="BB77" s="484" t="s">
        <v>225</v>
      </c>
    </row>
    <row r="78" spans="1:54">
      <c r="A78" s="403"/>
      <c r="B78" s="408" t="s">
        <v>237</v>
      </c>
      <c r="C78" s="491" t="s">
        <v>227</v>
      </c>
      <c r="D78" s="690" t="e">
        <f t="shared" ca="1" si="3"/>
        <v>#N/A</v>
      </c>
      <c r="E78" s="656">
        <f t="shared" ca="1" si="5"/>
        <v>0.32999999999999996</v>
      </c>
      <c r="F78" s="657"/>
      <c r="G78" s="657"/>
      <c r="H78" s="658">
        <f t="shared" ca="1" si="4"/>
        <v>0.11399999999999999</v>
      </c>
      <c r="I78" s="659"/>
      <c r="J78" s="413"/>
      <c r="K78" s="490" t="s">
        <v>237</v>
      </c>
      <c r="L78" s="491" t="s">
        <v>227</v>
      </c>
      <c r="M78" s="660"/>
      <c r="N78" s="660"/>
      <c r="O78" s="660">
        <v>0.01</v>
      </c>
      <c r="P78" s="660">
        <v>0.24</v>
      </c>
      <c r="Q78" s="660">
        <v>0.06</v>
      </c>
      <c r="R78" s="660">
        <v>0.26</v>
      </c>
      <c r="S78" s="660">
        <v>3.19</v>
      </c>
      <c r="T78" s="660">
        <v>0.2</v>
      </c>
      <c r="U78" s="660">
        <v>0.6</v>
      </c>
      <c r="V78" s="660">
        <v>0.02</v>
      </c>
      <c r="W78" s="660">
        <v>0.46</v>
      </c>
      <c r="X78" s="660">
        <v>0</v>
      </c>
      <c r="Y78" s="660">
        <v>0</v>
      </c>
      <c r="Z78" s="660">
        <v>0</v>
      </c>
      <c r="AA78" s="661">
        <v>0.06</v>
      </c>
      <c r="AB78" s="661">
        <v>0.04</v>
      </c>
      <c r="AC78" s="661">
        <v>0</v>
      </c>
      <c r="AD78" s="661">
        <v>0.02</v>
      </c>
      <c r="AE78" s="661">
        <v>0.02</v>
      </c>
      <c r="AF78" s="661">
        <v>0</v>
      </c>
      <c r="AG78" s="752">
        <v>0</v>
      </c>
      <c r="AH78" s="661">
        <v>0</v>
      </c>
      <c r="AI78" s="661">
        <v>0.92500000000000004</v>
      </c>
      <c r="AJ78" s="662">
        <f>6/100</f>
        <v>0.06</v>
      </c>
      <c r="AK78" s="662">
        <v>0.17</v>
      </c>
      <c r="AL78" s="663">
        <v>0</v>
      </c>
      <c r="AM78" s="540">
        <v>0.01</v>
      </c>
      <c r="AN78" s="665">
        <v>0.77</v>
      </c>
      <c r="AO78" s="665">
        <v>0</v>
      </c>
      <c r="AP78" s="757">
        <v>0.01</v>
      </c>
      <c r="AQ78" s="859">
        <v>2.61</v>
      </c>
      <c r="AR78" s="929">
        <v>0</v>
      </c>
      <c r="AS78" s="939">
        <v>0.11</v>
      </c>
      <c r="AT78" s="1066">
        <v>0</v>
      </c>
      <c r="AU78" s="1066">
        <v>0.56999999999999995</v>
      </c>
      <c r="AV78" s="1066">
        <v>0</v>
      </c>
      <c r="AW78" s="1066">
        <v>0</v>
      </c>
      <c r="AX78" s="1066">
        <v>0</v>
      </c>
      <c r="AY78" s="1066">
        <v>0</v>
      </c>
      <c r="AZ78" s="934" t="e">
        <f>IFERROR(ハダニ野帳!$AF$266/100,#N/A)</f>
        <v>#N/A</v>
      </c>
      <c r="BA78" s="490" t="s">
        <v>237</v>
      </c>
      <c r="BB78" s="491" t="s">
        <v>227</v>
      </c>
    </row>
    <row r="79" spans="1:54" ht="14.5" thickBot="1">
      <c r="A79" s="403"/>
      <c r="B79" s="409"/>
      <c r="C79" s="491" t="s">
        <v>228</v>
      </c>
      <c r="D79" s="684" t="e">
        <f t="shared" ca="1" si="3"/>
        <v>#N/A</v>
      </c>
      <c r="E79" s="685">
        <f t="shared" ca="1" si="5"/>
        <v>0.41299999999999998</v>
      </c>
      <c r="F79" s="668"/>
      <c r="G79" s="668"/>
      <c r="H79" s="669">
        <f t="shared" ca="1" si="4"/>
        <v>0.12000000000000002</v>
      </c>
      <c r="I79" s="670"/>
      <c r="J79" s="413"/>
      <c r="K79" s="508"/>
      <c r="L79" s="491" t="s">
        <v>228</v>
      </c>
      <c r="M79" s="671"/>
      <c r="N79" s="671"/>
      <c r="O79" s="671">
        <v>0</v>
      </c>
      <c r="P79" s="671">
        <v>0</v>
      </c>
      <c r="Q79" s="671">
        <v>0</v>
      </c>
      <c r="R79" s="671">
        <v>0.2</v>
      </c>
      <c r="S79" s="671">
        <v>4.1100000000000003</v>
      </c>
      <c r="T79" s="671">
        <v>0</v>
      </c>
      <c r="U79" s="671">
        <v>0.04</v>
      </c>
      <c r="V79" s="671">
        <v>0.12</v>
      </c>
      <c r="W79" s="671">
        <v>0.9</v>
      </c>
      <c r="X79" s="671">
        <v>0.02</v>
      </c>
      <c r="Y79" s="671">
        <v>0</v>
      </c>
      <c r="Z79" s="671">
        <v>0.18</v>
      </c>
      <c r="AA79" s="672">
        <v>0.24</v>
      </c>
      <c r="AB79" s="672">
        <v>0.02</v>
      </c>
      <c r="AC79" s="672">
        <v>0.31</v>
      </c>
      <c r="AD79" s="672">
        <v>0.2</v>
      </c>
      <c r="AE79" s="672">
        <v>0.03</v>
      </c>
      <c r="AF79" s="672">
        <v>0.21</v>
      </c>
      <c r="AG79" s="753">
        <v>0</v>
      </c>
      <c r="AH79" s="672">
        <v>0.02</v>
      </c>
      <c r="AI79" s="672">
        <f>3.27/(6/5)</f>
        <v>2.7250000000000001</v>
      </c>
      <c r="AJ79" s="673">
        <f>3/100</f>
        <v>0.03</v>
      </c>
      <c r="AK79" s="673">
        <v>0.03</v>
      </c>
      <c r="AL79" s="686">
        <f>2/100</f>
        <v>0.02</v>
      </c>
      <c r="AM79" s="687">
        <v>0.01</v>
      </c>
      <c r="AN79" s="689">
        <v>0.25</v>
      </c>
      <c r="AO79" s="689">
        <v>0.11</v>
      </c>
      <c r="AP79" s="759">
        <v>0</v>
      </c>
      <c r="AQ79" s="861">
        <v>2.87</v>
      </c>
      <c r="AR79" s="931">
        <v>0</v>
      </c>
      <c r="AS79" s="941">
        <v>0.66</v>
      </c>
      <c r="AT79" s="1068">
        <v>0</v>
      </c>
      <c r="AU79" s="1068">
        <v>0.56000000000000005</v>
      </c>
      <c r="AV79" s="1068">
        <v>0.04</v>
      </c>
      <c r="AW79" s="1068">
        <v>0</v>
      </c>
      <c r="AX79" s="1068">
        <v>0</v>
      </c>
      <c r="AY79" s="1068">
        <v>0</v>
      </c>
      <c r="AZ79" s="936" t="e">
        <f>IFERROR(ハダニ野帳!$BB$266/100,#N/A)</f>
        <v>#N/A</v>
      </c>
      <c r="BA79" s="508"/>
      <c r="BB79" s="491" t="s">
        <v>228</v>
      </c>
    </row>
    <row r="80" spans="1:54">
      <c r="A80" s="403"/>
      <c r="B80" s="407"/>
      <c r="C80" s="484" t="s">
        <v>225</v>
      </c>
      <c r="D80" s="644" t="e">
        <f t="shared" ca="1" si="3"/>
        <v>#N/A</v>
      </c>
      <c r="E80" s="656">
        <f t="shared" ca="1" si="5"/>
        <v>0.38699999999999996</v>
      </c>
      <c r="F80" s="646"/>
      <c r="G80" s="646"/>
      <c r="H80" s="647">
        <f t="shared" ca="1" si="4"/>
        <v>0.26800000000000002</v>
      </c>
      <c r="I80" s="659"/>
      <c r="J80" s="413"/>
      <c r="K80" s="434"/>
      <c r="L80" s="484" t="s">
        <v>225</v>
      </c>
      <c r="M80" s="678"/>
      <c r="N80" s="678"/>
      <c r="O80" s="678">
        <v>0</v>
      </c>
      <c r="P80" s="678">
        <v>0</v>
      </c>
      <c r="Q80" s="678">
        <v>0</v>
      </c>
      <c r="R80" s="678">
        <v>0.1</v>
      </c>
      <c r="S80" s="678">
        <v>0.1</v>
      </c>
      <c r="T80" s="678">
        <v>1.54</v>
      </c>
      <c r="U80" s="678">
        <v>0.08</v>
      </c>
      <c r="V80" s="678">
        <v>0.12</v>
      </c>
      <c r="W80" s="678">
        <v>0.56000000000000005</v>
      </c>
      <c r="X80" s="678">
        <v>0.02</v>
      </c>
      <c r="Y80" s="678">
        <v>0</v>
      </c>
      <c r="Z80" s="678">
        <v>0.04</v>
      </c>
      <c r="AA80" s="679">
        <v>7.0000000000000007E-2</v>
      </c>
      <c r="AB80" s="679">
        <v>0.08</v>
      </c>
      <c r="AC80" s="679">
        <v>0.03</v>
      </c>
      <c r="AD80" s="679">
        <v>0.26</v>
      </c>
      <c r="AE80" s="679">
        <v>0</v>
      </c>
      <c r="AF80" s="679">
        <v>0.04</v>
      </c>
      <c r="AG80" s="754">
        <v>0.01</v>
      </c>
      <c r="AH80" s="679">
        <v>0</v>
      </c>
      <c r="AI80" s="679">
        <v>1.3049999999999999</v>
      </c>
      <c r="AJ80" s="680">
        <f>7/106</f>
        <v>6.6037735849056603E-2</v>
      </c>
      <c r="AK80" s="680">
        <v>0.06</v>
      </c>
      <c r="AL80" s="653">
        <v>0.01</v>
      </c>
      <c r="AM80" s="539">
        <v>0</v>
      </c>
      <c r="AN80" s="655">
        <v>0.80500000000000005</v>
      </c>
      <c r="AO80" s="655">
        <v>0.17</v>
      </c>
      <c r="AP80" s="760">
        <v>0</v>
      </c>
      <c r="AQ80" s="862">
        <v>2.1</v>
      </c>
      <c r="AR80" s="932">
        <v>0.05</v>
      </c>
      <c r="AS80" s="942">
        <v>0.38</v>
      </c>
      <c r="AT80" s="1069">
        <v>0</v>
      </c>
      <c r="AU80" s="1069">
        <v>1.1200000000000001</v>
      </c>
      <c r="AV80" s="1069">
        <v>0.18</v>
      </c>
      <c r="AW80" s="1069">
        <v>0.03</v>
      </c>
      <c r="AX80" s="1069">
        <v>0</v>
      </c>
      <c r="AY80" s="1069">
        <v>0.01</v>
      </c>
      <c r="AZ80" s="937" t="e">
        <f>IFERROR(ハダニ野帳!$J$295/100,#N/A)</f>
        <v>#N/A</v>
      </c>
      <c r="BA80" s="434"/>
      <c r="BB80" s="484" t="s">
        <v>225</v>
      </c>
    </row>
    <row r="81" spans="1:54">
      <c r="A81" s="403"/>
      <c r="B81" s="408" t="s">
        <v>238</v>
      </c>
      <c r="C81" s="491" t="s">
        <v>227</v>
      </c>
      <c r="D81" s="690" t="e">
        <f t="shared" ca="1" si="3"/>
        <v>#N/A</v>
      </c>
      <c r="E81" s="656">
        <f t="shared" ca="1" si="5"/>
        <v>0.30899999999999994</v>
      </c>
      <c r="F81" s="657"/>
      <c r="G81" s="657"/>
      <c r="H81" s="658">
        <f t="shared" ca="1" si="4"/>
        <v>0.156</v>
      </c>
      <c r="I81" s="659"/>
      <c r="J81" s="413"/>
      <c r="K81" s="490" t="s">
        <v>238</v>
      </c>
      <c r="L81" s="491" t="s">
        <v>227</v>
      </c>
      <c r="M81" s="660"/>
      <c r="N81" s="660"/>
      <c r="O81" s="660">
        <v>0</v>
      </c>
      <c r="P81" s="660">
        <v>0</v>
      </c>
      <c r="Q81" s="660">
        <v>0</v>
      </c>
      <c r="R81" s="660">
        <v>0.08</v>
      </c>
      <c r="S81" s="660">
        <v>0.1</v>
      </c>
      <c r="T81" s="660">
        <v>1.1000000000000001</v>
      </c>
      <c r="U81" s="660">
        <v>0.27</v>
      </c>
      <c r="V81" s="660">
        <v>0.18</v>
      </c>
      <c r="W81" s="660">
        <v>1</v>
      </c>
      <c r="X81" s="660">
        <v>0.04</v>
      </c>
      <c r="Y81" s="660">
        <v>0.18</v>
      </c>
      <c r="Z81" s="660">
        <v>0</v>
      </c>
      <c r="AA81" s="661">
        <v>0.04</v>
      </c>
      <c r="AB81" s="661">
        <v>0.03</v>
      </c>
      <c r="AC81" s="661">
        <v>0.01</v>
      </c>
      <c r="AD81" s="661">
        <v>0.01</v>
      </c>
      <c r="AE81" s="661">
        <v>0</v>
      </c>
      <c r="AF81" s="661">
        <v>0.56999999999999995</v>
      </c>
      <c r="AG81" s="752">
        <v>0</v>
      </c>
      <c r="AH81" s="661">
        <v>0</v>
      </c>
      <c r="AI81" s="661">
        <f>(157+75)/200</f>
        <v>1.1599999999999999</v>
      </c>
      <c r="AJ81" s="662">
        <v>0.04</v>
      </c>
      <c r="AK81" s="662">
        <v>0.1</v>
      </c>
      <c r="AL81" s="663">
        <v>0</v>
      </c>
      <c r="AM81" s="540">
        <v>0</v>
      </c>
      <c r="AN81" s="665">
        <v>0.55000000000000004</v>
      </c>
      <c r="AO81" s="665">
        <v>0.04</v>
      </c>
      <c r="AP81" s="757">
        <v>0</v>
      </c>
      <c r="AQ81" s="859">
        <v>1.93</v>
      </c>
      <c r="AR81" s="929">
        <v>0.14000000000000001</v>
      </c>
      <c r="AS81" s="939">
        <v>0.24</v>
      </c>
      <c r="AT81" s="1066">
        <v>0</v>
      </c>
      <c r="AU81" s="1066">
        <v>0.41</v>
      </c>
      <c r="AV81" s="1066">
        <v>0.05</v>
      </c>
      <c r="AW81" s="1066">
        <v>0.32</v>
      </c>
      <c r="AX81" s="1066">
        <v>0</v>
      </c>
      <c r="AY81" s="1066">
        <v>0</v>
      </c>
      <c r="AZ81" s="934" t="e">
        <f>IFERROR(ハダニ野帳!$AF$295/100,#N/A)</f>
        <v>#N/A</v>
      </c>
      <c r="BA81" s="490" t="s">
        <v>238</v>
      </c>
      <c r="BB81" s="491" t="s">
        <v>227</v>
      </c>
    </row>
    <row r="82" spans="1:54" ht="14.5" thickBot="1">
      <c r="A82" s="403"/>
      <c r="B82" s="409"/>
      <c r="C82" s="612" t="s">
        <v>228</v>
      </c>
      <c r="D82" s="691" t="e">
        <f t="shared" ca="1" si="3"/>
        <v>#N/A</v>
      </c>
      <c r="E82" s="667">
        <f t="shared" ca="1" si="5"/>
        <v>0.311</v>
      </c>
      <c r="F82" s="668"/>
      <c r="G82" s="668"/>
      <c r="H82" s="669">
        <f t="shared" ca="1" si="4"/>
        <v>0.438</v>
      </c>
      <c r="I82" s="659"/>
      <c r="J82" s="413"/>
      <c r="K82" s="508"/>
      <c r="L82" s="491" t="s">
        <v>228</v>
      </c>
      <c r="M82" s="671"/>
      <c r="N82" s="671"/>
      <c r="O82" s="671">
        <v>0</v>
      </c>
      <c r="P82" s="671">
        <v>0</v>
      </c>
      <c r="Q82" s="671">
        <v>0</v>
      </c>
      <c r="R82" s="671">
        <v>0.06</v>
      </c>
      <c r="S82" s="671">
        <v>0.1</v>
      </c>
      <c r="T82" s="671">
        <v>0.62</v>
      </c>
      <c r="U82" s="671">
        <v>0.34</v>
      </c>
      <c r="V82" s="671">
        <v>0.22</v>
      </c>
      <c r="W82" s="671">
        <v>0.45</v>
      </c>
      <c r="X82" s="671">
        <v>0.08</v>
      </c>
      <c r="Y82" s="671">
        <v>0.12</v>
      </c>
      <c r="Z82" s="671">
        <v>0</v>
      </c>
      <c r="AA82" s="672">
        <v>0</v>
      </c>
      <c r="AB82" s="672">
        <v>0.13</v>
      </c>
      <c r="AC82" s="672">
        <v>0.12</v>
      </c>
      <c r="AD82" s="672">
        <v>0</v>
      </c>
      <c r="AE82" s="672">
        <v>0.03</v>
      </c>
      <c r="AF82" s="672">
        <v>0.35</v>
      </c>
      <c r="AG82" s="753">
        <v>0</v>
      </c>
      <c r="AH82" s="672">
        <v>0.02</v>
      </c>
      <c r="AI82" s="672">
        <f>(75+0)/200</f>
        <v>0.375</v>
      </c>
      <c r="AJ82" s="673">
        <v>1.4999999999999999E-2</v>
      </c>
      <c r="AK82" s="673">
        <v>0.18</v>
      </c>
      <c r="AL82" s="674">
        <v>0</v>
      </c>
      <c r="AM82" s="542">
        <v>0</v>
      </c>
      <c r="AN82" s="676">
        <v>0.32</v>
      </c>
      <c r="AO82" s="676">
        <v>0</v>
      </c>
      <c r="AP82" s="759">
        <v>0</v>
      </c>
      <c r="AQ82" s="861">
        <v>0.82</v>
      </c>
      <c r="AR82" s="931">
        <v>0.1</v>
      </c>
      <c r="AS82" s="941">
        <v>0</v>
      </c>
      <c r="AT82" s="1068">
        <v>0</v>
      </c>
      <c r="AU82" s="1068">
        <v>0.99</v>
      </c>
      <c r="AV82" s="1068">
        <v>1.17</v>
      </c>
      <c r="AW82" s="1068">
        <v>0.02</v>
      </c>
      <c r="AX82" s="1068">
        <v>0.01</v>
      </c>
      <c r="AY82" s="1068">
        <v>0</v>
      </c>
      <c r="AZ82" s="936" t="e">
        <f>IFERROR(ハダニ野帳!$BB$295/100,#N/A)</f>
        <v>#N/A</v>
      </c>
      <c r="BA82" s="508"/>
      <c r="BB82" s="491" t="s">
        <v>228</v>
      </c>
    </row>
    <row r="83" spans="1:54">
      <c r="A83" s="403"/>
      <c r="B83" s="407"/>
      <c r="C83" s="484" t="s">
        <v>225</v>
      </c>
      <c r="D83" s="677" t="e">
        <f t="shared" ca="1" si="3"/>
        <v>#N/A</v>
      </c>
      <c r="E83" s="645">
        <f t="shared" ca="1" si="5"/>
        <v>0.21599999999999997</v>
      </c>
      <c r="F83" s="646"/>
      <c r="G83" s="646"/>
      <c r="H83" s="647">
        <f t="shared" ca="1" si="4"/>
        <v>0.10400000000000001</v>
      </c>
      <c r="I83" s="692"/>
      <c r="J83" s="413"/>
      <c r="K83" s="434"/>
      <c r="L83" s="484" t="s">
        <v>225</v>
      </c>
      <c r="M83" s="678"/>
      <c r="N83" s="678"/>
      <c r="O83" s="678">
        <v>0</v>
      </c>
      <c r="P83" s="678">
        <v>0</v>
      </c>
      <c r="Q83" s="678">
        <v>0</v>
      </c>
      <c r="R83" s="678">
        <v>0.04</v>
      </c>
      <c r="S83" s="678">
        <v>0.1</v>
      </c>
      <c r="T83" s="678">
        <v>0.53</v>
      </c>
      <c r="U83" s="678">
        <v>0.19</v>
      </c>
      <c r="V83" s="678">
        <v>0.32</v>
      </c>
      <c r="W83" s="678">
        <v>0.12</v>
      </c>
      <c r="X83" s="678">
        <v>0</v>
      </c>
      <c r="Y83" s="678">
        <v>0.2</v>
      </c>
      <c r="Z83" s="678">
        <v>0</v>
      </c>
      <c r="AA83" s="679">
        <v>0.2</v>
      </c>
      <c r="AB83" s="679">
        <v>0</v>
      </c>
      <c r="AC83" s="679">
        <v>0</v>
      </c>
      <c r="AD83" s="679">
        <v>0.17</v>
      </c>
      <c r="AE83" s="679">
        <v>7.0000000000000007E-2</v>
      </c>
      <c r="AF83" s="679">
        <v>0.01</v>
      </c>
      <c r="AG83" s="754">
        <v>0</v>
      </c>
      <c r="AH83" s="679">
        <v>0.01</v>
      </c>
      <c r="AI83" s="679">
        <f>(0+17)/200</f>
        <v>8.5000000000000006E-2</v>
      </c>
      <c r="AJ83" s="680">
        <v>0</v>
      </c>
      <c r="AK83" s="680">
        <v>0.16</v>
      </c>
      <c r="AL83" s="681">
        <v>0.01</v>
      </c>
      <c r="AM83" s="682">
        <v>0</v>
      </c>
      <c r="AN83" s="683">
        <v>0.27</v>
      </c>
      <c r="AO83" s="683">
        <v>0.01</v>
      </c>
      <c r="AP83" s="760">
        <v>0.01</v>
      </c>
      <c r="AQ83" s="862">
        <v>1.28</v>
      </c>
      <c r="AR83" s="932">
        <v>0.22</v>
      </c>
      <c r="AS83" s="942">
        <v>0.13</v>
      </c>
      <c r="AT83" s="1069">
        <v>0</v>
      </c>
      <c r="AU83" s="1069">
        <v>0.49</v>
      </c>
      <c r="AV83" s="1069">
        <v>0.03</v>
      </c>
      <c r="AW83" s="1069">
        <v>0</v>
      </c>
      <c r="AX83" s="1069">
        <v>0</v>
      </c>
      <c r="AY83" s="1069">
        <v>0</v>
      </c>
      <c r="AZ83" s="937" t="e">
        <f>IFERROR(ハダニ野帳!$J$324/100,#N/A)</f>
        <v>#N/A</v>
      </c>
      <c r="BA83" s="434"/>
      <c r="BB83" s="484" t="s">
        <v>225</v>
      </c>
    </row>
    <row r="84" spans="1:54">
      <c r="A84" s="403"/>
      <c r="B84" s="408" t="s">
        <v>239</v>
      </c>
      <c r="C84" s="491" t="s">
        <v>227</v>
      </c>
      <c r="D84" s="690" t="e">
        <f t="shared" ca="1" si="3"/>
        <v>#N/A</v>
      </c>
      <c r="E84" s="656">
        <f t="shared" ca="1" si="5"/>
        <v>0.21200000000000002</v>
      </c>
      <c r="F84" s="657"/>
      <c r="G84" s="657"/>
      <c r="H84" s="658">
        <f t="shared" ca="1" si="4"/>
        <v>0.152</v>
      </c>
      <c r="I84" s="659"/>
      <c r="J84" s="413"/>
      <c r="K84" s="490" t="s">
        <v>239</v>
      </c>
      <c r="L84" s="491" t="s">
        <v>227</v>
      </c>
      <c r="M84" s="660"/>
      <c r="N84" s="660"/>
      <c r="O84" s="660">
        <v>0</v>
      </c>
      <c r="P84" s="660">
        <v>0</v>
      </c>
      <c r="Q84" s="660">
        <v>0</v>
      </c>
      <c r="R84" s="660">
        <v>0.02</v>
      </c>
      <c r="S84" s="660">
        <v>7.0000000000000007E-2</v>
      </c>
      <c r="T84" s="660">
        <v>0.43</v>
      </c>
      <c r="U84" s="660">
        <v>0.04</v>
      </c>
      <c r="V84" s="660">
        <v>0.16</v>
      </c>
      <c r="W84" s="660">
        <v>0.26</v>
      </c>
      <c r="X84" s="660">
        <v>0.08</v>
      </c>
      <c r="Y84" s="660">
        <v>0.1</v>
      </c>
      <c r="Z84" s="660">
        <v>0</v>
      </c>
      <c r="AA84" s="661">
        <v>0</v>
      </c>
      <c r="AB84" s="661">
        <v>0.01</v>
      </c>
      <c r="AC84" s="661">
        <v>0.12</v>
      </c>
      <c r="AD84" s="661">
        <v>0</v>
      </c>
      <c r="AE84" s="661">
        <v>0</v>
      </c>
      <c r="AF84" s="661">
        <v>0.21</v>
      </c>
      <c r="AG84" s="752">
        <v>0.02</v>
      </c>
      <c r="AH84" s="661">
        <v>0</v>
      </c>
      <c r="AI84" s="661">
        <v>0.04</v>
      </c>
      <c r="AJ84" s="662">
        <v>0.01</v>
      </c>
      <c r="AK84" s="662">
        <v>0.09</v>
      </c>
      <c r="AL84" s="663">
        <v>0</v>
      </c>
      <c r="AM84" s="540">
        <v>0</v>
      </c>
      <c r="AN84" s="665">
        <v>0.2</v>
      </c>
      <c r="AO84" s="665">
        <v>0</v>
      </c>
      <c r="AP84" s="757">
        <v>0</v>
      </c>
      <c r="AQ84" s="859">
        <v>0.73</v>
      </c>
      <c r="AR84" s="929">
        <v>0.61</v>
      </c>
      <c r="AS84" s="939">
        <v>0.02</v>
      </c>
      <c r="AT84" s="1066">
        <v>0</v>
      </c>
      <c r="AU84" s="1066">
        <v>0.39</v>
      </c>
      <c r="AV84" s="1066">
        <v>0.22</v>
      </c>
      <c r="AW84" s="1066">
        <v>0</v>
      </c>
      <c r="AX84" s="1066">
        <v>0.13</v>
      </c>
      <c r="AY84" s="1066">
        <v>0.02</v>
      </c>
      <c r="AZ84" s="934" t="e">
        <f>IFERROR(ハダニ野帳!$AF$324/100,#N/A)</f>
        <v>#N/A</v>
      </c>
      <c r="BA84" s="490" t="s">
        <v>239</v>
      </c>
      <c r="BB84" s="491" t="s">
        <v>227</v>
      </c>
    </row>
    <row r="85" spans="1:54" ht="14.5" thickBot="1">
      <c r="A85" s="403"/>
      <c r="B85" s="410"/>
      <c r="C85" s="509" t="s">
        <v>228</v>
      </c>
      <c r="D85" s="684" t="e">
        <f t="shared" ca="1" si="3"/>
        <v>#N/A</v>
      </c>
      <c r="E85" s="685">
        <f t="shared" ca="1" si="5"/>
        <v>6.3000000000000014E-2</v>
      </c>
      <c r="F85" s="668"/>
      <c r="G85" s="668"/>
      <c r="H85" s="669">
        <f t="shared" ca="1" si="4"/>
        <v>6.0000000000000001E-3</v>
      </c>
      <c r="I85" s="670"/>
      <c r="J85" s="413"/>
      <c r="K85" s="508"/>
      <c r="L85" s="509" t="s">
        <v>228</v>
      </c>
      <c r="M85" s="671"/>
      <c r="N85" s="671"/>
      <c r="O85" s="671">
        <v>0</v>
      </c>
      <c r="P85" s="671">
        <v>0</v>
      </c>
      <c r="Q85" s="671">
        <v>0</v>
      </c>
      <c r="R85" s="671">
        <v>0</v>
      </c>
      <c r="S85" s="671">
        <v>7.0000000000000007E-2</v>
      </c>
      <c r="T85" s="671">
        <v>0.34</v>
      </c>
      <c r="U85" s="671">
        <v>0.1</v>
      </c>
      <c r="V85" s="671">
        <v>0.3</v>
      </c>
      <c r="W85" s="671">
        <v>0.18</v>
      </c>
      <c r="X85" s="671">
        <v>0.08</v>
      </c>
      <c r="Y85" s="671">
        <v>0.04</v>
      </c>
      <c r="Z85" s="671">
        <v>0</v>
      </c>
      <c r="AA85" s="672">
        <v>0</v>
      </c>
      <c r="AB85" s="672">
        <v>0</v>
      </c>
      <c r="AC85" s="672">
        <v>0.1</v>
      </c>
      <c r="AD85" s="672">
        <v>0</v>
      </c>
      <c r="AE85" s="672">
        <v>0</v>
      </c>
      <c r="AF85" s="672">
        <v>0.01</v>
      </c>
      <c r="AG85" s="753">
        <v>0</v>
      </c>
      <c r="AH85" s="672">
        <v>0.01</v>
      </c>
      <c r="AI85" s="672">
        <v>0.25</v>
      </c>
      <c r="AJ85" s="673">
        <v>0.02</v>
      </c>
      <c r="AK85" s="673">
        <v>0</v>
      </c>
      <c r="AL85" s="686">
        <v>0</v>
      </c>
      <c r="AM85" s="687">
        <v>0</v>
      </c>
      <c r="AN85" s="689">
        <v>0.03</v>
      </c>
      <c r="AO85" s="689">
        <v>0</v>
      </c>
      <c r="AP85" s="758">
        <v>0</v>
      </c>
      <c r="AQ85" s="860">
        <v>0.21</v>
      </c>
      <c r="AR85" s="930">
        <v>0.33</v>
      </c>
      <c r="AS85" s="940">
        <v>0.06</v>
      </c>
      <c r="AT85" s="1067">
        <v>0</v>
      </c>
      <c r="AU85" s="1067">
        <v>0.03</v>
      </c>
      <c r="AV85" s="1067">
        <v>0</v>
      </c>
      <c r="AW85" s="1067">
        <v>0</v>
      </c>
      <c r="AX85" s="1067">
        <v>0</v>
      </c>
      <c r="AY85" s="1067">
        <v>0</v>
      </c>
      <c r="AZ85" s="935" t="e">
        <f>IFERROR(ハダニ野帳!$BB$324/100,#N/A)</f>
        <v>#N/A</v>
      </c>
      <c r="BA85" s="508"/>
      <c r="BB85" s="509" t="s">
        <v>228</v>
      </c>
    </row>
    <row r="86" spans="1:54">
      <c r="A86" s="403"/>
      <c r="B86" s="403"/>
      <c r="C86" s="403"/>
      <c r="D86" s="403"/>
      <c r="E86" s="403"/>
      <c r="F86" s="1879"/>
      <c r="G86" s="1879"/>
      <c r="H86" s="1879"/>
      <c r="I86" s="403"/>
      <c r="J86" s="403"/>
      <c r="K86" s="403"/>
      <c r="L86" s="403"/>
      <c r="M86" s="403"/>
      <c r="N86" s="403"/>
      <c r="O86" s="403"/>
      <c r="P86" s="403"/>
      <c r="Q86" s="403"/>
      <c r="R86" s="403"/>
      <c r="S86" s="403"/>
      <c r="T86" s="403"/>
      <c r="U86" s="403"/>
      <c r="V86" s="403"/>
      <c r="W86" s="403"/>
      <c r="X86" s="403"/>
      <c r="Y86" s="403"/>
      <c r="Z86" s="403"/>
      <c r="AA86" s="403"/>
      <c r="AB86" s="403"/>
      <c r="AC86" s="403"/>
      <c r="AD86" s="403"/>
      <c r="AE86" s="403"/>
    </row>
    <row r="87" spans="1:54">
      <c r="A87" s="403"/>
      <c r="B87" s="403"/>
      <c r="C87" s="403"/>
      <c r="D87" s="403"/>
      <c r="E87" s="403"/>
      <c r="F87" s="1878"/>
      <c r="G87" s="1878"/>
      <c r="H87" s="1878"/>
      <c r="I87" s="403"/>
      <c r="J87" s="403"/>
      <c r="K87" s="403"/>
      <c r="L87" s="403"/>
      <c r="M87" s="403"/>
      <c r="N87" s="403"/>
      <c r="O87" s="403"/>
      <c r="P87" s="403"/>
      <c r="Q87" s="403"/>
      <c r="R87" s="403"/>
      <c r="S87" s="403"/>
      <c r="T87" s="403"/>
      <c r="U87" s="403"/>
      <c r="V87" s="403"/>
      <c r="W87" s="403"/>
      <c r="X87" s="403"/>
      <c r="Y87" s="403"/>
      <c r="Z87" s="403"/>
      <c r="AA87" s="403"/>
      <c r="AB87" s="403"/>
      <c r="AC87" s="403"/>
      <c r="AD87" s="403"/>
      <c r="AE87" s="403"/>
      <c r="AM87" s="1316"/>
      <c r="AN87" s="1774"/>
      <c r="AO87" s="1775"/>
      <c r="AP87" s="1316"/>
      <c r="AQ87" s="1316"/>
      <c r="AR87" s="1316"/>
      <c r="AS87" s="1316"/>
      <c r="AT87" s="1316"/>
      <c r="AU87" s="1316"/>
      <c r="AV87" s="1316"/>
      <c r="AW87" s="1316"/>
      <c r="AX87" s="1776"/>
      <c r="AY87" s="1776"/>
      <c r="AZ87" s="1776"/>
      <c r="BA87" s="1316"/>
      <c r="BB87" s="1316"/>
    </row>
    <row r="88" spans="1:54">
      <c r="AM88" s="912"/>
    </row>
  </sheetData>
  <customSheetViews>
    <customSheetView guid="{BC749C3C-D733-4D37-8792-BBFA31845F93}" scale="85" printArea="1" hiddenColumns="1" showRuler="0">
      <selection activeCell="D91" sqref="D91:F91"/>
      <pageMargins left="0.59055118110236227" right="0.59055118110236227" top="0.59055118110236227" bottom="0.59055118110236227" header="0.51181102362204722" footer="0.51181102362204722"/>
      <pageSetup paperSize="9" scale="79" orientation="landscape" verticalDpi="0" r:id="rId1"/>
      <headerFooter alignWithMargins="0"/>
    </customSheetView>
  </customSheetViews>
  <mergeCells count="15">
    <mergeCell ref="I2:K2"/>
    <mergeCell ref="B2:H2"/>
    <mergeCell ref="E5:E6"/>
    <mergeCell ref="F6:H6"/>
    <mergeCell ref="F3:H3"/>
    <mergeCell ref="F4:H4"/>
    <mergeCell ref="F87:H87"/>
    <mergeCell ref="F86:H86"/>
    <mergeCell ref="F43:H43"/>
    <mergeCell ref="F46:H46"/>
    <mergeCell ref="B45:I45"/>
    <mergeCell ref="F44:H44"/>
    <mergeCell ref="E48:E49"/>
    <mergeCell ref="F47:H47"/>
    <mergeCell ref="F49:H49"/>
  </mergeCells>
  <phoneticPr fontId="2"/>
  <pageMargins left="0.59055118110236227" right="0.59055118110236227" top="0.59055118110236227" bottom="0.59055118110236227" header="0.51181102362204722" footer="0.51181102362204722"/>
  <pageSetup paperSize="9" scale="79" orientation="landscape" verticalDpi="1200" r:id="rId2"/>
  <headerFooter alignWithMargins="0"/>
  <drawing r:id="rId3"/>
  <legacy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50"/>
  </sheetPr>
  <dimension ref="B3:O31"/>
  <sheetViews>
    <sheetView workbookViewId="0">
      <selection activeCell="N14" sqref="N14"/>
    </sheetView>
  </sheetViews>
  <sheetFormatPr defaultRowHeight="13"/>
  <sheetData>
    <row r="3" spans="2:15" ht="18">
      <c r="B3" s="1139"/>
      <c r="C3" s="1140" t="s">
        <v>342</v>
      </c>
      <c r="D3" s="1139"/>
      <c r="E3" s="1139"/>
      <c r="F3" s="1139"/>
      <c r="G3" s="1139"/>
      <c r="H3" s="1139"/>
      <c r="I3" s="1139"/>
      <c r="J3" s="1139"/>
      <c r="K3" s="1139"/>
      <c r="L3" s="1139"/>
      <c r="M3" s="1139"/>
      <c r="N3" s="1139"/>
      <c r="O3" s="1141"/>
    </row>
    <row r="4" spans="2:15" ht="18">
      <c r="B4" s="1139"/>
      <c r="C4" s="1142" t="s">
        <v>343</v>
      </c>
      <c r="D4" s="1142">
        <v>2015</v>
      </c>
      <c r="E4" s="1142">
        <v>2016</v>
      </c>
      <c r="F4" s="1142">
        <v>2017</v>
      </c>
      <c r="G4" s="1142">
        <v>2018</v>
      </c>
      <c r="H4" s="1142">
        <v>2019</v>
      </c>
      <c r="I4" s="1142">
        <v>2020</v>
      </c>
      <c r="J4" s="1567">
        <v>2021</v>
      </c>
      <c r="K4" s="1567">
        <v>2022</v>
      </c>
      <c r="L4" s="1567">
        <v>2023</v>
      </c>
      <c r="M4" s="1567">
        <v>2024</v>
      </c>
      <c r="N4" s="1143">
        <v>2025</v>
      </c>
      <c r="O4" s="1142" t="s">
        <v>344</v>
      </c>
    </row>
    <row r="5" spans="2:15" ht="18">
      <c r="B5" s="1139" t="s">
        <v>345</v>
      </c>
      <c r="C5" s="1142" t="s">
        <v>346</v>
      </c>
      <c r="D5" s="1142">
        <v>0</v>
      </c>
      <c r="E5" s="1142">
        <v>0</v>
      </c>
      <c r="F5" s="1142">
        <v>0</v>
      </c>
      <c r="G5" s="1142">
        <v>0</v>
      </c>
      <c r="H5" s="1142">
        <v>0</v>
      </c>
      <c r="I5" s="1142">
        <v>0</v>
      </c>
      <c r="J5" s="1142">
        <v>0</v>
      </c>
      <c r="K5" s="1142">
        <v>25</v>
      </c>
      <c r="L5" s="1142">
        <v>0</v>
      </c>
      <c r="M5" s="1142"/>
      <c r="N5" s="1142">
        <v>0</v>
      </c>
      <c r="O5" s="1568">
        <f>AVERAGEIFS(I5:M5,$I$4:$M$4,"&lt;"&amp;$N$4,$I$4:$M$4,"&gt;="&amp;$N$4-5)</f>
        <v>6.25</v>
      </c>
    </row>
    <row r="6" spans="2:15" ht="18">
      <c r="B6" s="1139"/>
      <c r="C6" s="1142" t="s">
        <v>347</v>
      </c>
      <c r="D6" s="1142">
        <v>0</v>
      </c>
      <c r="E6" s="1142">
        <v>0</v>
      </c>
      <c r="F6" s="1142">
        <v>0</v>
      </c>
      <c r="G6" s="1142">
        <v>0</v>
      </c>
      <c r="H6" s="1142">
        <v>0</v>
      </c>
      <c r="I6" s="1142">
        <v>0</v>
      </c>
      <c r="J6" s="1142">
        <v>0</v>
      </c>
      <c r="K6" s="1142">
        <v>7</v>
      </c>
      <c r="L6" s="1142">
        <v>1</v>
      </c>
      <c r="M6" s="1142"/>
      <c r="N6" s="1142">
        <v>0</v>
      </c>
      <c r="O6" s="1568">
        <f>AVERAGEIFS(I6:M6,$I$4:$M$4,"&lt;"&amp;$N$4,$I$4:$M$4,"&gt;="&amp;$N$4-5)</f>
        <v>2</v>
      </c>
    </row>
    <row r="7" spans="2:15" ht="18">
      <c r="B7" s="1139"/>
      <c r="C7" s="1142" t="s">
        <v>348</v>
      </c>
      <c r="D7" s="1142">
        <v>0</v>
      </c>
      <c r="E7" s="1142">
        <v>0</v>
      </c>
      <c r="F7" s="1142">
        <v>0</v>
      </c>
      <c r="G7" s="1142">
        <v>0</v>
      </c>
      <c r="H7" s="1142">
        <v>0</v>
      </c>
      <c r="I7" s="1142">
        <v>0</v>
      </c>
      <c r="J7" s="1142">
        <v>0</v>
      </c>
      <c r="K7" s="1142">
        <v>56</v>
      </c>
      <c r="L7" s="1142">
        <v>0</v>
      </c>
      <c r="M7" s="1142"/>
      <c r="N7" s="1142">
        <v>0</v>
      </c>
      <c r="O7" s="1568">
        <f t="shared" ref="O7:O16" si="0">AVERAGEIFS(I7:M7,$I$4:$M$4,"&lt;"&amp;$N$4,$I$4:$M$4,"&gt;="&amp;$N$4-5)</f>
        <v>14</v>
      </c>
    </row>
    <row r="8" spans="2:15" ht="18">
      <c r="B8" s="1139" t="s">
        <v>349</v>
      </c>
      <c r="C8" s="1142" t="s">
        <v>346</v>
      </c>
      <c r="D8" s="1142">
        <v>0</v>
      </c>
      <c r="E8" s="1142">
        <v>0</v>
      </c>
      <c r="F8" s="1142">
        <v>0</v>
      </c>
      <c r="G8" s="1142">
        <v>0</v>
      </c>
      <c r="H8" s="1142">
        <v>0</v>
      </c>
      <c r="I8" s="1142">
        <v>0</v>
      </c>
      <c r="J8" s="1142">
        <v>0</v>
      </c>
      <c r="K8" s="1142">
        <v>57</v>
      </c>
      <c r="L8" s="1142">
        <v>9</v>
      </c>
      <c r="M8" s="1142"/>
      <c r="N8" s="1142">
        <v>0</v>
      </c>
      <c r="O8" s="1568">
        <f>AVERAGEIFS(I8:M8,$I$4:$M$4,"&lt;"&amp;$N$4,$I$4:$M$4,"&gt;="&amp;$N$4-5)</f>
        <v>16.5</v>
      </c>
    </row>
    <row r="9" spans="2:15" ht="18">
      <c r="B9" s="1139"/>
      <c r="C9" s="1142" t="s">
        <v>347</v>
      </c>
      <c r="D9" s="1142">
        <v>0</v>
      </c>
      <c r="E9" s="1142">
        <v>0</v>
      </c>
      <c r="F9" s="1142">
        <v>0</v>
      </c>
      <c r="G9" s="1142">
        <v>2</v>
      </c>
      <c r="H9" s="1142">
        <v>2</v>
      </c>
      <c r="I9" s="1142">
        <v>0</v>
      </c>
      <c r="J9" s="1142">
        <v>0</v>
      </c>
      <c r="K9" s="1142">
        <v>13</v>
      </c>
      <c r="L9" s="1142">
        <v>14</v>
      </c>
      <c r="M9" s="1142"/>
      <c r="N9" s="1142">
        <v>0</v>
      </c>
      <c r="O9" s="1568">
        <f t="shared" si="0"/>
        <v>6.75</v>
      </c>
    </row>
    <row r="10" spans="2:15" ht="18">
      <c r="B10" s="1139"/>
      <c r="C10" s="1142" t="s">
        <v>348</v>
      </c>
      <c r="D10" s="1142">
        <v>0</v>
      </c>
      <c r="E10" s="1142">
        <v>16</v>
      </c>
      <c r="F10" s="1142">
        <v>0</v>
      </c>
      <c r="G10" s="1142">
        <v>0</v>
      </c>
      <c r="H10" s="1142">
        <v>7</v>
      </c>
      <c r="I10" s="1142">
        <v>51</v>
      </c>
      <c r="J10" s="1142">
        <v>57</v>
      </c>
      <c r="K10" s="1142">
        <v>27</v>
      </c>
      <c r="L10" s="1142">
        <v>119</v>
      </c>
      <c r="M10" s="1142">
        <v>28</v>
      </c>
      <c r="N10" s="1142">
        <v>52</v>
      </c>
      <c r="O10" s="1568">
        <f t="shared" si="0"/>
        <v>56.4</v>
      </c>
    </row>
    <row r="11" spans="2:15" ht="18">
      <c r="B11" s="1139" t="s">
        <v>275</v>
      </c>
      <c r="C11" s="1142" t="s">
        <v>346</v>
      </c>
      <c r="D11" s="1142">
        <v>6</v>
      </c>
      <c r="E11" s="1142">
        <v>25</v>
      </c>
      <c r="F11" s="1142">
        <v>0</v>
      </c>
      <c r="G11" s="1142">
        <v>234</v>
      </c>
      <c r="H11" s="1142">
        <v>23</v>
      </c>
      <c r="I11" s="1142">
        <v>52</v>
      </c>
      <c r="J11" s="1142">
        <v>99</v>
      </c>
      <c r="K11" s="1142">
        <v>119</v>
      </c>
      <c r="L11" s="1142">
        <v>223</v>
      </c>
      <c r="M11" s="1142">
        <v>334</v>
      </c>
      <c r="N11" s="1142">
        <v>0</v>
      </c>
      <c r="O11" s="1568">
        <f>AVERAGEIFS(I11:M11,$I$4:$M$4,"&lt;"&amp;$N$4,$I$4:$M$4,"&gt;="&amp;$N$4-5)</f>
        <v>165.4</v>
      </c>
    </row>
    <row r="12" spans="2:15" ht="18">
      <c r="B12" s="1139"/>
      <c r="C12" s="1142" t="s">
        <v>347</v>
      </c>
      <c r="D12" s="1142">
        <v>67</v>
      </c>
      <c r="E12" s="1142">
        <v>25</v>
      </c>
      <c r="F12" s="1142">
        <v>0</v>
      </c>
      <c r="G12" s="1142">
        <v>883</v>
      </c>
      <c r="H12" s="1142">
        <v>78</v>
      </c>
      <c r="I12" s="1142">
        <v>61</v>
      </c>
      <c r="J12" s="1142">
        <v>205</v>
      </c>
      <c r="K12" s="1142">
        <v>910</v>
      </c>
      <c r="L12" s="1142">
        <v>1490</v>
      </c>
      <c r="M12" s="1142">
        <v>4</v>
      </c>
      <c r="N12" s="1142">
        <v>1</v>
      </c>
      <c r="O12" s="1568">
        <f t="shared" si="0"/>
        <v>534</v>
      </c>
    </row>
    <row r="13" spans="2:15" ht="18">
      <c r="B13" s="1139"/>
      <c r="C13" s="1142" t="s">
        <v>348</v>
      </c>
      <c r="D13" s="1142">
        <v>236</v>
      </c>
      <c r="E13" s="1142">
        <v>97</v>
      </c>
      <c r="F13" s="1142">
        <v>40</v>
      </c>
      <c r="G13" s="1142">
        <v>1448</v>
      </c>
      <c r="H13" s="1142">
        <v>59</v>
      </c>
      <c r="I13" s="1142">
        <v>32</v>
      </c>
      <c r="J13" s="1142">
        <v>165</v>
      </c>
      <c r="K13" s="1142">
        <v>1774</v>
      </c>
      <c r="L13" s="1142">
        <v>855</v>
      </c>
      <c r="M13" s="1142">
        <v>75</v>
      </c>
      <c r="N13" s="1142">
        <v>28</v>
      </c>
      <c r="O13" s="1568">
        <f t="shared" si="0"/>
        <v>580.20000000000005</v>
      </c>
    </row>
    <row r="14" spans="2:15" ht="18">
      <c r="B14" s="1139" t="s">
        <v>276</v>
      </c>
      <c r="C14" s="1142" t="s">
        <v>346</v>
      </c>
      <c r="D14" s="1142">
        <v>3</v>
      </c>
      <c r="E14" s="1142">
        <v>26</v>
      </c>
      <c r="F14" s="1142">
        <v>168</v>
      </c>
      <c r="G14" s="1142">
        <v>1203</v>
      </c>
      <c r="H14" s="1142">
        <v>94</v>
      </c>
      <c r="I14" s="1142">
        <v>31</v>
      </c>
      <c r="J14" s="1142">
        <v>5</v>
      </c>
      <c r="K14" s="1142">
        <v>654</v>
      </c>
      <c r="L14" s="1142">
        <v>297</v>
      </c>
      <c r="M14" s="1142">
        <v>39</v>
      </c>
      <c r="N14" s="1142"/>
      <c r="O14" s="1568">
        <f t="shared" si="0"/>
        <v>205.2</v>
      </c>
    </row>
    <row r="15" spans="2:15" ht="18">
      <c r="B15" s="1139"/>
      <c r="C15" s="1142" t="s">
        <v>347</v>
      </c>
      <c r="D15" s="1142">
        <v>38</v>
      </c>
      <c r="E15" s="1142">
        <v>42</v>
      </c>
      <c r="F15" s="1142">
        <v>78</v>
      </c>
      <c r="G15" s="1142"/>
      <c r="H15" s="1142">
        <v>139</v>
      </c>
      <c r="I15" s="1142">
        <v>2</v>
      </c>
      <c r="J15" s="1142">
        <v>35</v>
      </c>
      <c r="K15" s="1142">
        <v>614</v>
      </c>
      <c r="L15" s="1142">
        <v>54</v>
      </c>
      <c r="M15" s="1142">
        <v>66</v>
      </c>
      <c r="N15" s="1142"/>
      <c r="O15" s="1568">
        <f t="shared" si="0"/>
        <v>154.19999999999999</v>
      </c>
    </row>
    <row r="16" spans="2:15" ht="18">
      <c r="B16" s="1139"/>
      <c r="C16" s="1142" t="s">
        <v>348</v>
      </c>
      <c r="D16" s="1142">
        <v>22</v>
      </c>
      <c r="E16" s="1142">
        <v>11</v>
      </c>
      <c r="F16" s="1142">
        <v>11</v>
      </c>
      <c r="G16" s="1142"/>
      <c r="H16" s="1142">
        <v>0</v>
      </c>
      <c r="I16" s="1142">
        <v>0</v>
      </c>
      <c r="J16" s="1142">
        <v>1</v>
      </c>
      <c r="K16" s="1142">
        <v>40</v>
      </c>
      <c r="L16" s="1142">
        <v>52</v>
      </c>
      <c r="M16" s="1142">
        <v>0</v>
      </c>
      <c r="N16" s="1142"/>
      <c r="O16" s="1568">
        <f t="shared" si="0"/>
        <v>18.600000000000001</v>
      </c>
    </row>
    <row r="17" spans="2:15" ht="18">
      <c r="B17" s="1140"/>
      <c r="C17" s="1144" t="s">
        <v>350</v>
      </c>
      <c r="D17" s="1141"/>
      <c r="E17" s="1145"/>
      <c r="F17" s="1146"/>
      <c r="G17" s="1145"/>
      <c r="H17" s="1145"/>
      <c r="I17" s="1139"/>
      <c r="J17" s="1139"/>
      <c r="K17" s="1139"/>
      <c r="L17" s="1139"/>
      <c r="M17" s="1139"/>
      <c r="N17" s="1139"/>
      <c r="O17" s="1141"/>
    </row>
    <row r="24" spans="2:15" ht="18">
      <c r="C24" s="1141"/>
      <c r="D24" s="1141"/>
      <c r="E24" s="1141"/>
      <c r="F24" s="1141"/>
      <c r="G24" s="1141"/>
      <c r="H24" s="1141"/>
      <c r="I24" s="1147" t="s">
        <v>351</v>
      </c>
      <c r="J24" s="1147"/>
      <c r="K24" s="1141"/>
      <c r="L24" s="1141"/>
      <c r="M24" s="1141"/>
      <c r="N24" s="1141"/>
      <c r="O24" s="1141"/>
    </row>
    <row r="25" spans="2:15" ht="26.5">
      <c r="C25" s="1148" t="s">
        <v>352</v>
      </c>
      <c r="D25" s="1141"/>
      <c r="E25" s="1141"/>
      <c r="F25" s="1149" t="s">
        <v>353</v>
      </c>
      <c r="G25" s="1141"/>
      <c r="H25" s="1141"/>
      <c r="I25" s="1141"/>
      <c r="J25" s="1141"/>
      <c r="K25" s="1141"/>
      <c r="L25" s="1141"/>
      <c r="M25" s="1141"/>
      <c r="N25" s="1141"/>
      <c r="O25" s="1141"/>
    </row>
    <row r="26" spans="2:15" ht="18">
      <c r="C26" s="1150"/>
      <c r="D26" s="1142" t="s">
        <v>354</v>
      </c>
      <c r="E26" s="1151" t="s">
        <v>355</v>
      </c>
      <c r="F26" s="1151" t="s">
        <v>356</v>
      </c>
      <c r="G26" s="1151" t="s">
        <v>357</v>
      </c>
      <c r="H26" s="1151" t="s">
        <v>358</v>
      </c>
      <c r="I26" s="1151" t="s">
        <v>359</v>
      </c>
      <c r="J26" s="1151">
        <v>2021</v>
      </c>
      <c r="K26" s="1143" t="s">
        <v>449</v>
      </c>
      <c r="L26" s="1637">
        <v>2023</v>
      </c>
      <c r="M26" s="1637"/>
      <c r="N26" s="1637">
        <v>2024</v>
      </c>
      <c r="O26" s="1152" t="s">
        <v>360</v>
      </c>
    </row>
    <row r="27" spans="2:15" ht="72">
      <c r="C27" s="1153" t="s">
        <v>361</v>
      </c>
      <c r="D27" s="1145">
        <v>43534</v>
      </c>
      <c r="E27" s="1154">
        <v>43526</v>
      </c>
      <c r="F27" s="1154">
        <v>43553</v>
      </c>
      <c r="G27" s="1145">
        <v>43531</v>
      </c>
      <c r="H27" s="1155">
        <v>43511</v>
      </c>
      <c r="I27" s="1154">
        <v>43523</v>
      </c>
      <c r="J27" s="1154">
        <v>43521</v>
      </c>
      <c r="K27" s="1154">
        <v>43531</v>
      </c>
      <c r="L27" s="1638"/>
      <c r="M27" s="1638"/>
      <c r="N27" s="1638"/>
      <c r="O27" s="1156">
        <f>AVERAGE(F27:J27)</f>
        <v>43527.8</v>
      </c>
    </row>
    <row r="28" spans="2:15" ht="72">
      <c r="C28" s="1153" t="s">
        <v>362</v>
      </c>
      <c r="D28" s="1154">
        <v>43555</v>
      </c>
      <c r="E28" s="1157">
        <v>43535</v>
      </c>
      <c r="F28" s="1154">
        <v>43560</v>
      </c>
      <c r="G28" s="1157">
        <v>43543</v>
      </c>
      <c r="H28" s="1157">
        <v>43530</v>
      </c>
      <c r="I28" s="1154">
        <v>43523</v>
      </c>
      <c r="J28" s="1154">
        <v>43521</v>
      </c>
      <c r="K28" s="1154">
        <v>43540</v>
      </c>
      <c r="L28" s="1638"/>
      <c r="M28" s="1638"/>
      <c r="N28" s="1638"/>
      <c r="O28" s="1156">
        <f>AVERAGE(D28:J28)</f>
        <v>43538.142857142855</v>
      </c>
    </row>
    <row r="29" spans="2:15" ht="36">
      <c r="C29" s="1153" t="s">
        <v>363</v>
      </c>
      <c r="D29" s="1154">
        <v>43561</v>
      </c>
      <c r="E29" s="1154">
        <v>43560</v>
      </c>
      <c r="F29" s="1154">
        <v>43572</v>
      </c>
      <c r="G29" s="1154">
        <v>43558</v>
      </c>
      <c r="H29" s="1154">
        <v>43573</v>
      </c>
      <c r="I29" s="1154">
        <v>43932</v>
      </c>
      <c r="J29" s="1154"/>
      <c r="K29" s="1154"/>
      <c r="L29" s="1638"/>
      <c r="M29" s="1638"/>
      <c r="N29" s="1638"/>
      <c r="O29" s="1145">
        <f t="shared" ref="O29" si="1">AVERAGE(D29:H29)</f>
        <v>43564.800000000003</v>
      </c>
    </row>
    <row r="30" spans="2:15" ht="18">
      <c r="C30" s="1142" t="s">
        <v>364</v>
      </c>
      <c r="D30" s="1154">
        <v>43558</v>
      </c>
      <c r="E30" s="1154">
        <v>43554</v>
      </c>
      <c r="F30" s="1154">
        <v>43565</v>
      </c>
      <c r="G30" s="1154">
        <v>43552</v>
      </c>
      <c r="H30" s="1150"/>
      <c r="I30" s="1150"/>
      <c r="J30" s="1150"/>
      <c r="K30" s="1150"/>
      <c r="L30" s="1639"/>
      <c r="M30" s="1639"/>
      <c r="N30" s="1639"/>
      <c r="O30" s="1156"/>
    </row>
    <row r="31" spans="2:15" ht="18">
      <c r="C31" s="1139" t="s">
        <v>365</v>
      </c>
      <c r="D31" s="1141"/>
      <c r="E31" s="1145">
        <v>43546</v>
      </c>
      <c r="F31" s="1146" t="s">
        <v>366</v>
      </c>
      <c r="G31" s="1145">
        <v>43547</v>
      </c>
      <c r="H31" s="1145">
        <v>43912</v>
      </c>
      <c r="I31" s="1145">
        <v>43541</v>
      </c>
      <c r="J31" s="1145"/>
      <c r="K31" s="1141"/>
      <c r="L31" s="1141"/>
      <c r="M31" s="1141"/>
      <c r="N31" s="1141"/>
      <c r="O31" s="1141"/>
    </row>
  </sheetData>
  <phoneticPr fontId="2"/>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66"/>
  </sheetPr>
  <dimension ref="A2:K360"/>
  <sheetViews>
    <sheetView topLeftCell="A134" zoomScale="80" zoomScaleNormal="80" zoomScaleSheetLayoutView="80" zoomScalePageLayoutView="80" workbookViewId="0">
      <selection activeCell="N142" sqref="N142"/>
    </sheetView>
  </sheetViews>
  <sheetFormatPr defaultColWidth="9" defaultRowHeight="15"/>
  <cols>
    <col min="1" max="1" width="2.453125" style="1401" customWidth="1"/>
    <col min="2" max="2" width="9" style="1401"/>
    <col min="3" max="3" width="8.08984375" style="1401" bestFit="1" customWidth="1"/>
    <col min="4" max="9" width="9.36328125" style="1401" customWidth="1"/>
    <col min="10" max="16384" width="9" style="1401"/>
  </cols>
  <sheetData>
    <row r="2" spans="1:11" ht="15.5" thickBot="1">
      <c r="B2" s="1470">
        <v>2026</v>
      </c>
      <c r="C2" s="1470" t="s">
        <v>420</v>
      </c>
      <c r="D2" s="1470">
        <v>3</v>
      </c>
      <c r="E2" s="1470" t="s">
        <v>442</v>
      </c>
      <c r="F2" s="1470">
        <v>15</v>
      </c>
      <c r="G2" s="1470" t="s">
        <v>443</v>
      </c>
      <c r="H2" s="1470"/>
      <c r="I2" s="1470"/>
      <c r="J2" s="1402"/>
      <c r="K2" s="1402"/>
    </row>
    <row r="3" spans="1:11" ht="24.75" customHeight="1">
      <c r="A3" s="1471"/>
      <c r="B3" s="1898" t="s">
        <v>444</v>
      </c>
      <c r="C3" s="1898" t="s">
        <v>422</v>
      </c>
      <c r="D3" s="1897" t="s">
        <v>548</v>
      </c>
      <c r="E3" s="1896"/>
      <c r="F3" s="1894" t="s">
        <v>547</v>
      </c>
      <c r="G3" s="1896"/>
      <c r="H3" s="1894" t="s">
        <v>546</v>
      </c>
      <c r="I3" s="1895"/>
    </row>
    <row r="4" spans="1:11" ht="38" thickBot="1">
      <c r="A4" s="1471"/>
      <c r="B4" s="1899"/>
      <c r="C4" s="1899"/>
      <c r="D4" s="1472" t="s">
        <v>445</v>
      </c>
      <c r="E4" s="1473" t="s">
        <v>446</v>
      </c>
      <c r="F4" s="1472" t="s">
        <v>445</v>
      </c>
      <c r="G4" s="1473" t="s">
        <v>447</v>
      </c>
      <c r="H4" s="1472" t="s">
        <v>445</v>
      </c>
      <c r="I4" s="1474" t="s">
        <v>447</v>
      </c>
    </row>
    <row r="5" spans="1:11" ht="17.25" customHeight="1">
      <c r="B5" s="1475">
        <v>1</v>
      </c>
      <c r="C5" s="1404"/>
      <c r="D5" s="1787"/>
      <c r="E5" s="1477" t="s">
        <v>439</v>
      </c>
      <c r="F5" s="1790"/>
      <c r="G5" s="1477" t="s">
        <v>439</v>
      </c>
      <c r="H5" s="1793"/>
      <c r="I5" s="1479" t="s">
        <v>439</v>
      </c>
    </row>
    <row r="6" spans="1:11" ht="17.25" customHeight="1">
      <c r="B6" s="1480">
        <v>2</v>
      </c>
      <c r="C6" s="1415"/>
      <c r="D6" s="1788"/>
      <c r="E6" s="1482"/>
      <c r="F6" s="1791"/>
      <c r="G6" s="1482"/>
      <c r="H6" s="1791"/>
      <c r="I6" s="1484"/>
    </row>
    <row r="7" spans="1:11" ht="17.25" customHeight="1">
      <c r="B7" s="1480">
        <v>3</v>
      </c>
      <c r="C7" s="1415"/>
      <c r="D7" s="1788"/>
      <c r="E7" s="1482"/>
      <c r="F7" s="1791"/>
      <c r="G7" s="1482"/>
      <c r="H7" s="1791"/>
      <c r="I7" s="1484"/>
    </row>
    <row r="8" spans="1:11" ht="17.25" customHeight="1">
      <c r="B8" s="1480">
        <v>4</v>
      </c>
      <c r="C8" s="1415"/>
      <c r="D8" s="1788"/>
      <c r="E8" s="1482"/>
      <c r="F8" s="1791"/>
      <c r="G8" s="1482"/>
      <c r="H8" s="1791"/>
      <c r="I8" s="1484"/>
    </row>
    <row r="9" spans="1:11" ht="17.25" customHeight="1" thickBot="1">
      <c r="B9" s="1485">
        <v>5</v>
      </c>
      <c r="C9" s="1430"/>
      <c r="D9" s="1789"/>
      <c r="E9" s="1487"/>
      <c r="F9" s="1792"/>
      <c r="G9" s="1487"/>
      <c r="H9" s="1792"/>
      <c r="I9" s="1489"/>
    </row>
    <row r="10" spans="1:11" ht="17.25" customHeight="1" thickTop="1">
      <c r="B10" s="1490">
        <v>6</v>
      </c>
      <c r="C10" s="1440" t="s">
        <v>294</v>
      </c>
      <c r="D10" s="1779">
        <v>1</v>
      </c>
      <c r="E10" s="1492">
        <f>D10</f>
        <v>1</v>
      </c>
      <c r="F10" s="1785">
        <v>0</v>
      </c>
      <c r="G10" s="1492">
        <f>F10</f>
        <v>0</v>
      </c>
      <c r="H10" s="1785">
        <v>0</v>
      </c>
      <c r="I10" s="1494">
        <f>H10</f>
        <v>0</v>
      </c>
    </row>
    <row r="11" spans="1:11" ht="17.25" customHeight="1">
      <c r="B11" s="1480">
        <v>7</v>
      </c>
      <c r="C11" s="1415"/>
      <c r="D11" s="1707"/>
      <c r="E11" s="1482"/>
      <c r="F11" s="1783"/>
      <c r="G11" s="1482"/>
      <c r="H11" s="1783"/>
      <c r="I11" s="1484"/>
    </row>
    <row r="12" spans="1:11" ht="17.25" customHeight="1">
      <c r="B12" s="1480">
        <v>8</v>
      </c>
      <c r="C12" s="1415"/>
      <c r="D12" s="1707"/>
      <c r="E12" s="1482"/>
      <c r="F12" s="1783"/>
      <c r="G12" s="1482"/>
      <c r="H12" s="1783"/>
      <c r="I12" s="1484"/>
    </row>
    <row r="13" spans="1:11" ht="17.25" customHeight="1">
      <c r="B13" s="1480">
        <v>9</v>
      </c>
      <c r="C13" s="1415"/>
      <c r="D13" s="1707"/>
      <c r="E13" s="1482"/>
      <c r="F13" s="1783"/>
      <c r="G13" s="1482"/>
      <c r="H13" s="1783"/>
      <c r="I13" s="1484"/>
    </row>
    <row r="14" spans="1:11" ht="17.25" customHeight="1" thickBot="1">
      <c r="B14" s="1495">
        <v>10</v>
      </c>
      <c r="C14" s="1452"/>
      <c r="D14" s="1780"/>
      <c r="E14" s="1487"/>
      <c r="F14" s="1786"/>
      <c r="G14" s="1487"/>
      <c r="H14" s="1786"/>
      <c r="I14" s="1489"/>
    </row>
    <row r="15" spans="1:11" ht="17.25" customHeight="1" thickTop="1">
      <c r="B15" s="1475">
        <v>11</v>
      </c>
      <c r="C15" s="1404" t="s">
        <v>295</v>
      </c>
      <c r="D15" s="1706">
        <v>4</v>
      </c>
      <c r="E15" s="1723">
        <f>D15</f>
        <v>4</v>
      </c>
      <c r="F15" s="1782">
        <v>0</v>
      </c>
      <c r="G15" s="1723">
        <f>F15</f>
        <v>0</v>
      </c>
      <c r="H15" s="1782">
        <v>0</v>
      </c>
      <c r="I15" s="1494">
        <f>H15</f>
        <v>0</v>
      </c>
    </row>
    <row r="16" spans="1:11" ht="17.25" customHeight="1">
      <c r="B16" s="1480">
        <v>12</v>
      </c>
      <c r="C16" s="1415"/>
      <c r="D16" s="1707"/>
      <c r="E16" s="1482"/>
      <c r="F16" s="1783"/>
      <c r="G16" s="1482"/>
      <c r="H16" s="1783"/>
      <c r="I16" s="1484"/>
    </row>
    <row r="17" spans="2:9" ht="17.25" customHeight="1">
      <c r="B17" s="1480">
        <v>13</v>
      </c>
      <c r="C17" s="1415"/>
      <c r="D17" s="1707"/>
      <c r="E17" s="1482"/>
      <c r="F17" s="1783"/>
      <c r="G17" s="1482"/>
      <c r="H17" s="1783"/>
      <c r="I17" s="1484"/>
    </row>
    <row r="18" spans="2:9" ht="17.25" customHeight="1">
      <c r="B18" s="1480">
        <v>14</v>
      </c>
      <c r="C18" s="1415"/>
      <c r="D18" s="1707"/>
      <c r="E18" s="1482"/>
      <c r="F18" s="1783"/>
      <c r="G18" s="1482"/>
      <c r="H18" s="1783"/>
      <c r="I18" s="1484"/>
    </row>
    <row r="19" spans="2:9" ht="17.25" customHeight="1" thickBot="1">
      <c r="B19" s="1485">
        <v>15</v>
      </c>
      <c r="C19" s="1430"/>
      <c r="D19" s="1708"/>
      <c r="E19" s="1487"/>
      <c r="F19" s="1784"/>
      <c r="G19" s="1487"/>
      <c r="H19" s="1784"/>
      <c r="I19" s="1489"/>
    </row>
    <row r="20" spans="2:9" ht="17.25" customHeight="1" thickTop="1">
      <c r="B20" s="1490">
        <v>16</v>
      </c>
      <c r="C20" s="1440" t="s">
        <v>296</v>
      </c>
      <c r="D20" s="1779">
        <v>0</v>
      </c>
      <c r="E20" s="1723">
        <f>D20</f>
        <v>0</v>
      </c>
      <c r="F20" s="1785">
        <v>0</v>
      </c>
      <c r="G20" s="1723">
        <f>F20</f>
        <v>0</v>
      </c>
      <c r="H20" s="1785">
        <v>0</v>
      </c>
      <c r="I20" s="1494">
        <f>H20</f>
        <v>0</v>
      </c>
    </row>
    <row r="21" spans="2:9" ht="17.25" customHeight="1">
      <c r="B21" s="1480">
        <v>17</v>
      </c>
      <c r="C21" s="1415"/>
      <c r="D21" s="1707"/>
      <c r="E21" s="1482"/>
      <c r="F21" s="1783"/>
      <c r="G21" s="1482"/>
      <c r="H21" s="1783"/>
      <c r="I21" s="1484"/>
    </row>
    <row r="22" spans="2:9" ht="17.25" customHeight="1">
      <c r="B22" s="1480">
        <v>18</v>
      </c>
      <c r="C22" s="1415"/>
      <c r="D22" s="1707"/>
      <c r="E22" s="1482"/>
      <c r="F22" s="1783"/>
      <c r="G22" s="1482"/>
      <c r="H22" s="1783"/>
      <c r="I22" s="1484"/>
    </row>
    <row r="23" spans="2:9" ht="17.25" customHeight="1">
      <c r="B23" s="1480">
        <v>19</v>
      </c>
      <c r="C23" s="1415"/>
      <c r="D23" s="1707"/>
      <c r="E23" s="1482"/>
      <c r="F23" s="1783"/>
      <c r="G23" s="1482"/>
      <c r="H23" s="1783"/>
      <c r="I23" s="1484"/>
    </row>
    <row r="24" spans="2:9" ht="17.25" customHeight="1" thickBot="1">
      <c r="B24" s="1495">
        <v>20</v>
      </c>
      <c r="C24" s="1452"/>
      <c r="D24" s="1780"/>
      <c r="E24" s="1487"/>
      <c r="F24" s="1786"/>
      <c r="G24" s="1487"/>
      <c r="H24" s="1786"/>
      <c r="I24" s="1489"/>
    </row>
    <row r="25" spans="2:9" ht="17.25" customHeight="1" thickTop="1">
      <c r="B25" s="1475">
        <v>21</v>
      </c>
      <c r="C25" s="1404"/>
      <c r="D25" s="1706"/>
      <c r="E25" s="1723">
        <f>D27*5/7</f>
        <v>0.7142857142857143</v>
      </c>
      <c r="F25" s="1782"/>
      <c r="G25" s="1723">
        <f>F27*5/7</f>
        <v>0.7142857142857143</v>
      </c>
      <c r="H25" s="1782"/>
      <c r="I25" s="1494">
        <f>H27*5/7</f>
        <v>0</v>
      </c>
    </row>
    <row r="26" spans="2:9" ht="17.25" customHeight="1">
      <c r="B26" s="1480">
        <v>22</v>
      </c>
      <c r="C26" s="1415"/>
      <c r="D26" s="1707"/>
      <c r="E26" s="1482"/>
      <c r="F26" s="1783"/>
      <c r="G26" s="1482"/>
      <c r="H26" s="1783"/>
      <c r="I26" s="1484"/>
    </row>
    <row r="27" spans="2:9" ht="17.25" customHeight="1">
      <c r="B27" s="1480">
        <v>23</v>
      </c>
      <c r="C27" s="1415" t="s">
        <v>297</v>
      </c>
      <c r="D27" s="1707">
        <v>1</v>
      </c>
      <c r="E27" s="1482"/>
      <c r="F27" s="1783">
        <v>1</v>
      </c>
      <c r="G27" s="1482"/>
      <c r="H27" s="1783">
        <v>0</v>
      </c>
      <c r="I27" s="1484"/>
    </row>
    <row r="28" spans="2:9" ht="17.25" customHeight="1">
      <c r="B28" s="1480">
        <v>24</v>
      </c>
      <c r="C28" s="1415"/>
      <c r="D28" s="1707"/>
      <c r="E28" s="1482"/>
      <c r="F28" s="1783"/>
      <c r="G28" s="1482"/>
      <c r="H28" s="1783"/>
      <c r="I28" s="1484"/>
    </row>
    <row r="29" spans="2:9" ht="17.25" customHeight="1" thickBot="1">
      <c r="B29" s="1485">
        <v>25</v>
      </c>
      <c r="C29" s="1430"/>
      <c r="D29" s="1708"/>
      <c r="E29" s="1487"/>
      <c r="F29" s="1784"/>
      <c r="G29" s="1487"/>
      <c r="H29" s="1784"/>
      <c r="I29" s="1489"/>
    </row>
    <row r="30" spans="2:9" ht="17.25" customHeight="1" thickTop="1">
      <c r="B30" s="1490">
        <v>26</v>
      </c>
      <c r="C30" s="1440" t="s">
        <v>298</v>
      </c>
      <c r="D30" s="1779">
        <v>2</v>
      </c>
      <c r="E30" s="1723">
        <f>D27*2/7+D30</f>
        <v>2.2857142857142856</v>
      </c>
      <c r="F30" s="1785">
        <v>0</v>
      </c>
      <c r="G30" s="1723">
        <f>F27*2/7+F30</f>
        <v>0.2857142857142857</v>
      </c>
      <c r="H30" s="1785">
        <v>0</v>
      </c>
      <c r="I30" s="1494">
        <f>H27*2/7+H30</f>
        <v>0</v>
      </c>
    </row>
    <row r="31" spans="2:9" ht="17.25" customHeight="1">
      <c r="B31" s="1480">
        <v>27</v>
      </c>
      <c r="C31" s="1415"/>
      <c r="D31" s="1707"/>
      <c r="E31" s="1482"/>
      <c r="F31" s="1783"/>
      <c r="G31" s="1482"/>
      <c r="H31" s="1783"/>
      <c r="I31" s="1484"/>
    </row>
    <row r="32" spans="2:9" ht="17.25" customHeight="1">
      <c r="B32" s="1480">
        <v>28</v>
      </c>
      <c r="C32" s="1415"/>
      <c r="D32" s="1707"/>
      <c r="E32" s="1482"/>
      <c r="F32" s="1783"/>
      <c r="G32" s="1482"/>
      <c r="H32" s="1783"/>
      <c r="I32" s="1484"/>
    </row>
    <row r="33" spans="2:10" ht="17.25" customHeight="1">
      <c r="B33" s="1480">
        <v>29</v>
      </c>
      <c r="C33" s="1415"/>
      <c r="D33" s="1707"/>
      <c r="E33" s="1482"/>
      <c r="F33" s="1783"/>
      <c r="G33" s="1482"/>
      <c r="H33" s="1783"/>
      <c r="I33" s="1484"/>
    </row>
    <row r="34" spans="2:10" ht="17.25" customHeight="1">
      <c r="B34" s="1480">
        <v>30</v>
      </c>
      <c r="C34" s="1415"/>
      <c r="D34" s="1707"/>
      <c r="E34" s="1487"/>
      <c r="F34" s="1783"/>
      <c r="G34" s="1487"/>
      <c r="H34" s="1783"/>
      <c r="I34" s="1489"/>
    </row>
    <row r="35" spans="2:10" ht="17.25" customHeight="1" thickBot="1">
      <c r="B35" s="1495">
        <v>31</v>
      </c>
      <c r="C35" s="1452"/>
      <c r="D35" s="1780"/>
      <c r="E35" s="1498"/>
      <c r="F35" s="1786"/>
      <c r="G35" s="1498"/>
      <c r="H35" s="1786"/>
      <c r="I35" s="1499"/>
    </row>
    <row r="36" spans="2:10" ht="17.25" customHeight="1" thickTop="1">
      <c r="B36" s="1475">
        <v>1</v>
      </c>
      <c r="C36" s="1404" t="s">
        <v>299</v>
      </c>
      <c r="D36" s="1706">
        <v>135</v>
      </c>
      <c r="E36" s="1723">
        <f>D36</f>
        <v>135</v>
      </c>
      <c r="F36" s="1782">
        <v>8</v>
      </c>
      <c r="G36" s="1723">
        <f>F36</f>
        <v>8</v>
      </c>
      <c r="H36" s="1782">
        <v>9</v>
      </c>
      <c r="I36" s="1494">
        <f>H36</f>
        <v>9</v>
      </c>
    </row>
    <row r="37" spans="2:10" ht="17.25" customHeight="1">
      <c r="B37" s="1480">
        <v>2</v>
      </c>
      <c r="C37" s="1415"/>
      <c r="D37" s="1707"/>
      <c r="E37" s="1482"/>
      <c r="F37" s="1783"/>
      <c r="G37" s="1482"/>
      <c r="H37" s="1783"/>
      <c r="I37" s="1484"/>
    </row>
    <row r="38" spans="2:10" ht="17.25" customHeight="1">
      <c r="B38" s="1480">
        <v>3</v>
      </c>
      <c r="C38" s="1415"/>
      <c r="D38" s="1707"/>
      <c r="E38" s="1482"/>
      <c r="F38" s="1783"/>
      <c r="G38" s="1482"/>
      <c r="H38" s="1783"/>
      <c r="I38" s="1484"/>
    </row>
    <row r="39" spans="2:10" ht="17.25" customHeight="1">
      <c r="B39" s="1480">
        <v>4</v>
      </c>
      <c r="C39" s="1415"/>
      <c r="D39" s="1707"/>
      <c r="E39" s="1482"/>
      <c r="F39" s="1783"/>
      <c r="G39" s="1482"/>
      <c r="H39" s="1483"/>
      <c r="I39" s="1484"/>
    </row>
    <row r="40" spans="2:10" ht="17.25" customHeight="1" thickBot="1">
      <c r="B40" s="1500">
        <v>5</v>
      </c>
      <c r="C40" s="1461"/>
      <c r="D40" s="1781"/>
      <c r="E40" s="1502"/>
      <c r="F40" s="1503"/>
      <c r="G40" s="1502"/>
      <c r="H40" s="1503"/>
      <c r="I40" s="1505"/>
      <c r="J40" s="1402"/>
    </row>
    <row r="42" spans="2:10" ht="15.5" thickBot="1">
      <c r="B42" s="1470">
        <f>B2</f>
        <v>2026</v>
      </c>
      <c r="C42" s="1470" t="s">
        <v>420</v>
      </c>
      <c r="D42" s="1470">
        <v>4</v>
      </c>
      <c r="E42" s="1470" t="s">
        <v>442</v>
      </c>
      <c r="F42" s="1470">
        <v>15</v>
      </c>
      <c r="G42" s="1470" t="s">
        <v>443</v>
      </c>
      <c r="H42" s="1470"/>
      <c r="I42" s="1470"/>
    </row>
    <row r="43" spans="2:10" ht="15" customHeight="1">
      <c r="B43" s="1898" t="s">
        <v>444</v>
      </c>
      <c r="C43" s="1898" t="s">
        <v>422</v>
      </c>
      <c r="D43" s="1897" t="s">
        <v>548</v>
      </c>
      <c r="E43" s="1896"/>
      <c r="F43" s="1894" t="s">
        <v>547</v>
      </c>
      <c r="G43" s="1896"/>
      <c r="H43" s="1894" t="s">
        <v>546</v>
      </c>
      <c r="I43" s="1895"/>
    </row>
    <row r="44" spans="2:10" ht="38" thickBot="1">
      <c r="B44" s="1899"/>
      <c r="C44" s="1899"/>
      <c r="D44" s="1472" t="s">
        <v>445</v>
      </c>
      <c r="E44" s="1473" t="s">
        <v>446</v>
      </c>
      <c r="F44" s="1472" t="s">
        <v>445</v>
      </c>
      <c r="G44" s="1473" t="s">
        <v>447</v>
      </c>
      <c r="H44" s="1472" t="s">
        <v>445</v>
      </c>
      <c r="I44" s="1474" t="s">
        <v>447</v>
      </c>
    </row>
    <row r="45" spans="2:10">
      <c r="B45" s="1475">
        <v>1</v>
      </c>
      <c r="C45" s="1404"/>
      <c r="D45" s="1794"/>
      <c r="E45" s="1477" t="s">
        <v>439</v>
      </c>
      <c r="F45" s="1793"/>
      <c r="G45" s="1477" t="s">
        <v>439</v>
      </c>
      <c r="H45" s="1793"/>
      <c r="I45" s="1479" t="s">
        <v>439</v>
      </c>
    </row>
    <row r="46" spans="2:10">
      <c r="B46" s="1480">
        <v>2</v>
      </c>
      <c r="C46" s="1415"/>
      <c r="D46" s="1795"/>
      <c r="E46" s="1482"/>
      <c r="F46" s="1797"/>
      <c r="G46" s="1482"/>
      <c r="H46" s="1797"/>
      <c r="I46" s="1484"/>
    </row>
    <row r="47" spans="2:10">
      <c r="B47" s="1480">
        <v>3</v>
      </c>
      <c r="C47" s="1415"/>
      <c r="D47" s="1795"/>
      <c r="E47" s="1482"/>
      <c r="F47" s="1797"/>
      <c r="G47" s="1482"/>
      <c r="H47" s="1797"/>
      <c r="I47" s="1484"/>
    </row>
    <row r="48" spans="2:10">
      <c r="B48" s="1480">
        <v>4</v>
      </c>
      <c r="C48" s="1415"/>
      <c r="D48" s="1795"/>
      <c r="E48" s="1482"/>
      <c r="F48" s="1797"/>
      <c r="G48" s="1482"/>
      <c r="H48" s="1797"/>
      <c r="I48" s="1484"/>
    </row>
    <row r="49" spans="2:9" ht="15.5" thickBot="1">
      <c r="B49" s="1485">
        <v>5</v>
      </c>
      <c r="C49" s="1430"/>
      <c r="D49" s="1796"/>
      <c r="E49" s="1487"/>
      <c r="F49" s="1798"/>
      <c r="G49" s="1487"/>
      <c r="H49" s="1798"/>
      <c r="I49" s="1489"/>
    </row>
    <row r="50" spans="2:9" ht="15.5" thickTop="1">
      <c r="B50" s="1490">
        <v>6</v>
      </c>
      <c r="C50" s="1440"/>
      <c r="D50" s="1491">
        <v>67</v>
      </c>
      <c r="E50" s="1819">
        <f>D50</f>
        <v>67</v>
      </c>
      <c r="F50" s="1493">
        <v>23</v>
      </c>
      <c r="G50" s="1819">
        <f>F50</f>
        <v>23</v>
      </c>
      <c r="H50" s="1493">
        <v>17</v>
      </c>
      <c r="I50" s="1494">
        <f>H50</f>
        <v>17</v>
      </c>
    </row>
    <row r="51" spans="2:9">
      <c r="B51" s="1480">
        <v>7</v>
      </c>
      <c r="C51" s="1415" t="s">
        <v>294</v>
      </c>
      <c r="D51" s="1481"/>
      <c r="E51" s="1482"/>
      <c r="F51" s="1483"/>
      <c r="G51" s="1482"/>
      <c r="H51" s="1483"/>
      <c r="I51" s="1484"/>
    </row>
    <row r="52" spans="2:9">
      <c r="B52" s="1480">
        <v>8</v>
      </c>
      <c r="C52" s="1415"/>
      <c r="D52" s="1481"/>
      <c r="E52" s="1482"/>
      <c r="F52" s="1483"/>
      <c r="G52" s="1482"/>
      <c r="H52" s="1483"/>
      <c r="I52" s="1484"/>
    </row>
    <row r="53" spans="2:9">
      <c r="B53" s="1480">
        <v>9</v>
      </c>
      <c r="C53" s="1415"/>
      <c r="D53" s="1481"/>
      <c r="E53" s="1482"/>
      <c r="F53" s="1483"/>
      <c r="G53" s="1482"/>
      <c r="H53" s="1483"/>
      <c r="I53" s="1484"/>
    </row>
    <row r="54" spans="2:9" ht="15.5" thickBot="1">
      <c r="B54" s="1495">
        <v>10</v>
      </c>
      <c r="C54" s="1452"/>
      <c r="D54" s="1496"/>
      <c r="E54" s="1487"/>
      <c r="F54" s="1497"/>
      <c r="G54" s="1487"/>
      <c r="H54" s="1497"/>
      <c r="I54" s="1489"/>
    </row>
    <row r="55" spans="2:9" ht="15.5" thickTop="1">
      <c r="B55" s="1475">
        <v>11</v>
      </c>
      <c r="C55" s="1404" t="s">
        <v>295</v>
      </c>
      <c r="D55" s="1476"/>
      <c r="E55" s="1818">
        <f>D57*5/7</f>
        <v>27.857142857142858</v>
      </c>
      <c r="F55" s="1478"/>
      <c r="G55" s="1821">
        <f>F57*5/7</f>
        <v>95</v>
      </c>
      <c r="H55" s="1478"/>
      <c r="I55" s="1820">
        <f>H57*5/7</f>
        <v>10</v>
      </c>
    </row>
    <row r="56" spans="2:9">
      <c r="B56" s="1480">
        <v>12</v>
      </c>
      <c r="C56" s="1415"/>
      <c r="D56" s="1481"/>
      <c r="E56" s="1482"/>
      <c r="F56" s="1483"/>
      <c r="G56" s="1482"/>
      <c r="H56" s="1483"/>
      <c r="I56" s="1484"/>
    </row>
    <row r="57" spans="2:9">
      <c r="B57" s="1480">
        <v>13</v>
      </c>
      <c r="C57" s="1415"/>
      <c r="D57" s="1481">
        <v>39</v>
      </c>
      <c r="E57" s="1816"/>
      <c r="F57" s="1483">
        <v>133</v>
      </c>
      <c r="G57" s="1482"/>
      <c r="H57" s="1483">
        <v>14</v>
      </c>
      <c r="I57" s="1484"/>
    </row>
    <row r="58" spans="2:9">
      <c r="B58" s="1480">
        <v>14</v>
      </c>
      <c r="C58" s="1415"/>
      <c r="D58" s="1481"/>
      <c r="E58" s="1482"/>
      <c r="F58" s="1483"/>
      <c r="G58" s="1482"/>
      <c r="H58" s="1483"/>
      <c r="I58" s="1484"/>
    </row>
    <row r="59" spans="2:9" ht="15.5" thickBot="1">
      <c r="B59" s="1485">
        <v>15</v>
      </c>
      <c r="C59" s="1430"/>
      <c r="D59" s="1486"/>
      <c r="E59" s="1487"/>
      <c r="F59" s="1488"/>
      <c r="G59" s="1487"/>
      <c r="H59" s="1488"/>
      <c r="I59" s="1489"/>
    </row>
    <row r="60" spans="2:9" ht="15.5" thickTop="1">
      <c r="B60" s="1490">
        <v>16</v>
      </c>
      <c r="C60" s="1440" t="s">
        <v>296</v>
      </c>
      <c r="D60" s="1491">
        <v>11</v>
      </c>
      <c r="E60" s="1723">
        <f>D60*5/3</f>
        <v>18.333333333333332</v>
      </c>
      <c r="F60" s="1493">
        <v>164</v>
      </c>
      <c r="G60" s="1723">
        <f>F60*5/3</f>
        <v>273.33333333333331</v>
      </c>
      <c r="H60" s="1493">
        <v>17</v>
      </c>
      <c r="I60" s="1494">
        <f>H60*5/3</f>
        <v>28.333333333333332</v>
      </c>
    </row>
    <row r="61" spans="2:9">
      <c r="B61" s="1480">
        <v>17</v>
      </c>
      <c r="C61" s="1415"/>
      <c r="D61" s="1481"/>
      <c r="E61" s="1482"/>
      <c r="F61" s="1483"/>
      <c r="G61" s="1482"/>
      <c r="H61" s="1483"/>
      <c r="I61" s="1484"/>
    </row>
    <row r="62" spans="2:9">
      <c r="B62" s="1480">
        <v>18</v>
      </c>
      <c r="C62" s="1415"/>
      <c r="D62" s="1481"/>
      <c r="E62" s="1482"/>
      <c r="F62" s="1483"/>
      <c r="G62" s="1482"/>
      <c r="H62" s="1483"/>
      <c r="I62" s="1484"/>
    </row>
    <row r="63" spans="2:9">
      <c r="B63" s="1480">
        <v>19</v>
      </c>
      <c r="C63" s="1415"/>
      <c r="D63" s="1481"/>
      <c r="E63" s="1482"/>
      <c r="F63" s="1483"/>
      <c r="G63" s="1482"/>
      <c r="H63" s="1483"/>
      <c r="I63" s="1484"/>
    </row>
    <row r="64" spans="2:9" ht="15.5" thickBot="1">
      <c r="B64" s="1495">
        <v>20</v>
      </c>
      <c r="C64" s="1452"/>
      <c r="D64" s="1496"/>
      <c r="E64" s="1487"/>
      <c r="F64" s="1497"/>
      <c r="G64" s="1487"/>
      <c r="H64" s="1497"/>
      <c r="I64" s="1489"/>
    </row>
    <row r="65" spans="2:9" ht="15.5" thickTop="1">
      <c r="B65" s="1475">
        <v>21</v>
      </c>
      <c r="C65" s="1404" t="s">
        <v>297</v>
      </c>
      <c r="D65" s="1476">
        <v>8</v>
      </c>
      <c r="E65" s="1723">
        <f>D65</f>
        <v>8</v>
      </c>
      <c r="F65" s="1478">
        <v>270</v>
      </c>
      <c r="G65" s="1723">
        <f>F65</f>
        <v>270</v>
      </c>
      <c r="H65" s="1478">
        <v>2</v>
      </c>
      <c r="I65" s="1494">
        <f>H65</f>
        <v>2</v>
      </c>
    </row>
    <row r="66" spans="2:9">
      <c r="B66" s="1480">
        <v>22</v>
      </c>
      <c r="C66" s="1415"/>
      <c r="D66" s="1481"/>
      <c r="E66" s="1482"/>
      <c r="F66" s="1483"/>
      <c r="G66" s="1482"/>
      <c r="H66" s="1483"/>
      <c r="I66" s="1484"/>
    </row>
    <row r="67" spans="2:9">
      <c r="B67" s="1480">
        <v>23</v>
      </c>
      <c r="C67" s="1415"/>
      <c r="D67" s="1481"/>
      <c r="E67" s="1482"/>
      <c r="F67" s="1483"/>
      <c r="G67" s="1482"/>
      <c r="H67" s="1483"/>
      <c r="I67" s="1484"/>
    </row>
    <row r="68" spans="2:9">
      <c r="B68" s="1480">
        <v>24</v>
      </c>
      <c r="C68" s="1415"/>
      <c r="D68" s="1481"/>
      <c r="E68" s="1482"/>
      <c r="F68" s="1483"/>
      <c r="G68" s="1482"/>
      <c r="H68" s="1483"/>
      <c r="I68" s="1484"/>
    </row>
    <row r="69" spans="2:9" ht="15.5" thickBot="1">
      <c r="B69" s="1485">
        <v>25</v>
      </c>
      <c r="C69" s="1430"/>
      <c r="D69" s="1486"/>
      <c r="E69" s="1487"/>
      <c r="F69" s="1488"/>
      <c r="G69" s="1487"/>
      <c r="H69" s="1488"/>
      <c r="I69" s="1489"/>
    </row>
    <row r="70" spans="2:9" ht="15.5" thickTop="1">
      <c r="B70" s="1490">
        <v>26</v>
      </c>
      <c r="C70" s="1440"/>
      <c r="D70" s="1491"/>
      <c r="E70" s="1723">
        <f>D71*5/6</f>
        <v>3.3333333333333335</v>
      </c>
      <c r="F70" s="1493"/>
      <c r="G70" s="1723">
        <f>F71*5/6</f>
        <v>200</v>
      </c>
      <c r="H70" s="1493"/>
      <c r="I70" s="1494">
        <f>H71*5/6</f>
        <v>1.6666666666666667</v>
      </c>
    </row>
    <row r="71" spans="2:9">
      <c r="B71" s="1480">
        <v>27</v>
      </c>
      <c r="C71" s="1415"/>
      <c r="D71" s="1481">
        <v>4</v>
      </c>
      <c r="E71" s="1482"/>
      <c r="F71" s="1483">
        <v>240</v>
      </c>
      <c r="G71" s="1482"/>
      <c r="H71" s="1483">
        <v>2</v>
      </c>
      <c r="I71" s="1484"/>
    </row>
    <row r="72" spans="2:9">
      <c r="B72" s="1480">
        <v>28</v>
      </c>
      <c r="C72" s="1415" t="s">
        <v>298</v>
      </c>
      <c r="D72" s="1481"/>
      <c r="E72" s="1482"/>
      <c r="F72" s="1483"/>
      <c r="G72" s="1482"/>
      <c r="H72" s="1483"/>
      <c r="I72" s="1484"/>
    </row>
    <row r="73" spans="2:9">
      <c r="B73" s="1480">
        <v>29</v>
      </c>
      <c r="C73" s="1415"/>
      <c r="D73" s="1481"/>
      <c r="E73" s="1482"/>
      <c r="F73" s="1483"/>
      <c r="G73" s="1482"/>
      <c r="H73" s="1483"/>
      <c r="I73" s="1484"/>
    </row>
    <row r="74" spans="2:9">
      <c r="B74" s="1480">
        <v>30</v>
      </c>
      <c r="C74" s="1415"/>
      <c r="D74" s="1481"/>
      <c r="E74" s="1487"/>
      <c r="F74" s="1483"/>
      <c r="G74" s="1487"/>
      <c r="H74" s="1483"/>
      <c r="I74" s="1489"/>
    </row>
    <row r="75" spans="2:9" ht="15.5" thickBot="1">
      <c r="B75" s="1495"/>
      <c r="C75" s="1452"/>
      <c r="D75" s="1496"/>
      <c r="E75" s="1498"/>
      <c r="F75" s="1497"/>
      <c r="G75" s="1498"/>
      <c r="H75" s="1497"/>
      <c r="I75" s="1499"/>
    </row>
    <row r="76" spans="2:9" ht="15.5" thickTop="1">
      <c r="B76" s="1475">
        <v>1</v>
      </c>
      <c r="C76" s="1404"/>
      <c r="D76" s="1476">
        <v>2</v>
      </c>
      <c r="E76" s="1722">
        <f>D76*5/4</f>
        <v>2.5</v>
      </c>
      <c r="F76" s="1478">
        <v>149</v>
      </c>
      <c r="G76" s="1722">
        <f>F76*5/4</f>
        <v>186.25</v>
      </c>
      <c r="H76" s="1478">
        <v>2</v>
      </c>
      <c r="I76" s="1494">
        <f>H76*5/4</f>
        <v>2.5</v>
      </c>
    </row>
    <row r="77" spans="2:9">
      <c r="B77" s="1480">
        <v>2</v>
      </c>
      <c r="C77" s="1415"/>
      <c r="D77" s="1481"/>
      <c r="E77" s="1482"/>
      <c r="F77" s="1483"/>
      <c r="G77" s="1482"/>
      <c r="H77" s="1483"/>
      <c r="I77" s="1484"/>
    </row>
    <row r="78" spans="2:9">
      <c r="B78" s="1480">
        <v>3</v>
      </c>
      <c r="C78" s="1415"/>
      <c r="D78" s="1481"/>
      <c r="E78" s="1482"/>
      <c r="F78" s="1483"/>
      <c r="G78" s="1482"/>
      <c r="H78" s="1483"/>
      <c r="I78" s="1484"/>
    </row>
    <row r="79" spans="2:9">
      <c r="B79" s="1480">
        <v>4</v>
      </c>
      <c r="C79" s="1415" t="s">
        <v>299</v>
      </c>
      <c r="D79" s="1481"/>
      <c r="E79" s="1482"/>
      <c r="F79" s="1483"/>
      <c r="G79" s="1482"/>
      <c r="H79" s="1483"/>
      <c r="I79" s="1484"/>
    </row>
    <row r="80" spans="2:9" ht="15.5" thickBot="1">
      <c r="B80" s="1500">
        <v>5</v>
      </c>
      <c r="C80" s="1461"/>
      <c r="D80" s="1501"/>
      <c r="E80" s="1502"/>
      <c r="F80" s="1503"/>
      <c r="G80" s="1502"/>
      <c r="H80" s="1503"/>
      <c r="I80" s="1505"/>
    </row>
    <row r="82" spans="2:9" ht="15.5" thickBot="1">
      <c r="B82" s="1470">
        <f>B2</f>
        <v>2026</v>
      </c>
      <c r="C82" s="1470" t="s">
        <v>420</v>
      </c>
      <c r="D82" s="1470">
        <v>5</v>
      </c>
      <c r="E82" s="1470" t="s">
        <v>442</v>
      </c>
      <c r="F82" s="1470">
        <v>15</v>
      </c>
      <c r="G82" s="1470" t="s">
        <v>443</v>
      </c>
      <c r="H82" s="1470"/>
      <c r="I82" s="1470"/>
    </row>
    <row r="83" spans="2:9">
      <c r="B83" s="1898" t="s">
        <v>444</v>
      </c>
      <c r="C83" s="1898" t="s">
        <v>422</v>
      </c>
      <c r="D83" s="1897" t="s">
        <v>548</v>
      </c>
      <c r="E83" s="1896"/>
      <c r="F83" s="1894" t="s">
        <v>547</v>
      </c>
      <c r="G83" s="1896"/>
      <c r="H83" s="1894" t="s">
        <v>546</v>
      </c>
      <c r="I83" s="1895"/>
    </row>
    <row r="84" spans="2:9" ht="38" thickBot="1">
      <c r="B84" s="1899"/>
      <c r="C84" s="1899"/>
      <c r="D84" s="1472" t="s">
        <v>445</v>
      </c>
      <c r="E84" s="1473" t="s">
        <v>446</v>
      </c>
      <c r="F84" s="1472" t="s">
        <v>445</v>
      </c>
      <c r="G84" s="1473" t="s">
        <v>447</v>
      </c>
      <c r="H84" s="1472" t="s">
        <v>445</v>
      </c>
      <c r="I84" s="1474" t="s">
        <v>447</v>
      </c>
    </row>
    <row r="85" spans="2:9">
      <c r="B85" s="1475">
        <v>1</v>
      </c>
      <c r="C85" s="1404"/>
      <c r="D85" s="1794"/>
      <c r="E85" s="1477" t="s">
        <v>437</v>
      </c>
      <c r="F85" s="1793"/>
      <c r="G85" s="1477" t="s">
        <v>437</v>
      </c>
      <c r="H85" s="1793"/>
      <c r="I85" s="1479" t="s">
        <v>437</v>
      </c>
    </row>
    <row r="86" spans="2:9">
      <c r="B86" s="1480">
        <v>2</v>
      </c>
      <c r="C86" s="1415"/>
      <c r="D86" s="1795"/>
      <c r="E86" s="1482"/>
      <c r="F86" s="1797"/>
      <c r="G86" s="1482"/>
      <c r="H86" s="1797"/>
      <c r="I86" s="1484"/>
    </row>
    <row r="87" spans="2:9">
      <c r="B87" s="1480">
        <v>3</v>
      </c>
      <c r="C87" s="1415"/>
      <c r="D87" s="1795"/>
      <c r="E87" s="1482"/>
      <c r="F87" s="1797"/>
      <c r="G87" s="1482"/>
      <c r="H87" s="1797"/>
      <c r="I87" s="1484"/>
    </row>
    <row r="88" spans="2:9">
      <c r="B88" s="1480">
        <v>4</v>
      </c>
      <c r="C88" s="1415"/>
      <c r="D88" s="1795"/>
      <c r="E88" s="1482"/>
      <c r="F88" s="1797"/>
      <c r="G88" s="1482"/>
      <c r="H88" s="1797"/>
      <c r="I88" s="1484"/>
    </row>
    <row r="89" spans="2:9" ht="15.5" thickBot="1">
      <c r="B89" s="1485">
        <v>5</v>
      </c>
      <c r="C89" s="1430"/>
      <c r="D89" s="1796"/>
      <c r="E89" s="1487"/>
      <c r="F89" s="1798"/>
      <c r="G89" s="1487"/>
      <c r="H89" s="1798"/>
      <c r="I89" s="1489"/>
    </row>
    <row r="90" spans="2:9" ht="15.5" thickTop="1">
      <c r="B90" s="1490">
        <v>6</v>
      </c>
      <c r="C90" s="1440"/>
      <c r="D90" s="1491"/>
      <c r="E90" s="1722">
        <f>D91*5/6</f>
        <v>0</v>
      </c>
      <c r="F90" s="1493"/>
      <c r="G90" s="1722">
        <f>F91*5/6</f>
        <v>95</v>
      </c>
      <c r="H90" s="1493"/>
      <c r="I90" s="1494">
        <f>H91*5/6</f>
        <v>0.83333333333333337</v>
      </c>
    </row>
    <row r="91" spans="2:9">
      <c r="B91" s="1480">
        <v>7</v>
      </c>
      <c r="C91" s="1415"/>
      <c r="D91" s="1481">
        <v>0</v>
      </c>
      <c r="E91" s="1482"/>
      <c r="F91" s="1483">
        <v>114</v>
      </c>
      <c r="G91" s="1482"/>
      <c r="H91" s="1483">
        <v>1</v>
      </c>
      <c r="I91" s="1484"/>
    </row>
    <row r="92" spans="2:9">
      <c r="B92" s="1480">
        <v>8</v>
      </c>
      <c r="C92" s="1415" t="s">
        <v>294</v>
      </c>
      <c r="D92" s="1481"/>
      <c r="E92" s="1482"/>
      <c r="F92" s="1483"/>
      <c r="G92" s="1482"/>
      <c r="H92" s="1483"/>
      <c r="I92" s="1484"/>
    </row>
    <row r="93" spans="2:9">
      <c r="B93" s="1480">
        <v>9</v>
      </c>
      <c r="C93" s="1415"/>
      <c r="D93" s="1481"/>
      <c r="E93" s="1482"/>
      <c r="F93" s="1483"/>
      <c r="G93" s="1482"/>
      <c r="H93" s="1483"/>
      <c r="I93" s="1484"/>
    </row>
    <row r="94" spans="2:9" ht="15.5" thickBot="1">
      <c r="B94" s="1495">
        <v>10</v>
      </c>
      <c r="C94" s="1452"/>
      <c r="D94" s="1496"/>
      <c r="E94" s="1487"/>
      <c r="F94" s="1497"/>
      <c r="G94" s="1487"/>
      <c r="H94" s="1497"/>
      <c r="I94" s="1489"/>
    </row>
    <row r="95" spans="2:9" ht="15.5" thickTop="1">
      <c r="B95" s="1475">
        <v>11</v>
      </c>
      <c r="C95" s="1404"/>
      <c r="D95" s="1706"/>
      <c r="E95" s="1722">
        <f>D96</f>
        <v>0</v>
      </c>
      <c r="F95" s="1478"/>
      <c r="G95" s="1722">
        <f>F96</f>
        <v>28</v>
      </c>
      <c r="H95" s="1478"/>
      <c r="I95" s="1494">
        <f>H96</f>
        <v>0</v>
      </c>
    </row>
    <row r="96" spans="2:9">
      <c r="B96" s="1480">
        <v>12</v>
      </c>
      <c r="C96" s="1415" t="s">
        <v>295</v>
      </c>
      <c r="D96" s="1707">
        <v>0</v>
      </c>
      <c r="E96" s="1482"/>
      <c r="F96" s="1483">
        <v>28</v>
      </c>
      <c r="G96" s="1482"/>
      <c r="H96" s="1483">
        <v>0</v>
      </c>
      <c r="I96" s="1484"/>
    </row>
    <row r="97" spans="2:9">
      <c r="B97" s="1480">
        <v>13</v>
      </c>
      <c r="C97" s="1415"/>
      <c r="D97" s="1707"/>
      <c r="E97" s="1482"/>
      <c r="F97" s="1483"/>
      <c r="G97" s="1482"/>
      <c r="H97" s="1483"/>
      <c r="I97" s="1484"/>
    </row>
    <row r="98" spans="2:9">
      <c r="B98" s="1480">
        <v>14</v>
      </c>
      <c r="C98" s="1415"/>
      <c r="D98" s="1707"/>
      <c r="E98" s="1482"/>
      <c r="F98" s="1483"/>
      <c r="G98" s="1482"/>
      <c r="H98" s="1483"/>
      <c r="I98" s="1484"/>
    </row>
    <row r="99" spans="2:9" ht="15.5" thickBot="1">
      <c r="B99" s="1485">
        <v>15</v>
      </c>
      <c r="C99" s="1430"/>
      <c r="D99" s="1708"/>
      <c r="E99" s="1487"/>
      <c r="F99" s="1488"/>
      <c r="G99" s="1487"/>
      <c r="H99" s="1488"/>
      <c r="I99" s="1489"/>
    </row>
    <row r="100" spans="2:9" ht="15.5" thickTop="1">
      <c r="B100" s="1490">
        <v>16</v>
      </c>
      <c r="C100" s="1440" t="s">
        <v>296</v>
      </c>
      <c r="D100" s="1491"/>
      <c r="E100" s="1723">
        <f>D102*5/6</f>
        <v>6.666666666666667</v>
      </c>
      <c r="F100" s="1493"/>
      <c r="G100" s="1723">
        <f>F102*5/6</f>
        <v>5.833333333333333</v>
      </c>
      <c r="H100" s="1493"/>
      <c r="I100" s="1728">
        <f>H102*5/6</f>
        <v>0</v>
      </c>
    </row>
    <row r="101" spans="2:9">
      <c r="B101" s="1480">
        <v>17</v>
      </c>
      <c r="C101" s="1415"/>
      <c r="D101" s="1481"/>
      <c r="E101" s="1482"/>
      <c r="F101" s="1483"/>
      <c r="G101" s="1482"/>
      <c r="H101" s="1483"/>
      <c r="I101" s="1484"/>
    </row>
    <row r="102" spans="2:9">
      <c r="B102" s="1480">
        <v>18</v>
      </c>
      <c r="C102" s="1415"/>
      <c r="D102" s="1481">
        <v>8</v>
      </c>
      <c r="E102" s="1482"/>
      <c r="F102" s="1483">
        <v>7</v>
      </c>
      <c r="G102" s="1482"/>
      <c r="H102" s="1483">
        <v>0</v>
      </c>
      <c r="I102" s="1484"/>
    </row>
    <row r="103" spans="2:9">
      <c r="B103" s="1480">
        <v>19</v>
      </c>
      <c r="C103" s="1415"/>
      <c r="D103" s="1481"/>
      <c r="E103" s="1482"/>
      <c r="F103" s="1483"/>
      <c r="G103" s="1482"/>
      <c r="H103" s="1483"/>
      <c r="I103" s="1484"/>
    </row>
    <row r="104" spans="2:9" ht="15.5" thickBot="1">
      <c r="B104" s="1495">
        <v>20</v>
      </c>
      <c r="C104" s="1452"/>
      <c r="D104" s="1496"/>
      <c r="E104" s="1487"/>
      <c r="F104" s="1497"/>
      <c r="G104" s="1487"/>
      <c r="H104" s="1497"/>
      <c r="I104" s="1489"/>
    </row>
    <row r="105" spans="2:9" ht="15.5" thickTop="1">
      <c r="B105" s="1475">
        <v>21</v>
      </c>
      <c r="C105" s="1404" t="s">
        <v>297</v>
      </c>
      <c r="D105" s="1476">
        <v>110</v>
      </c>
      <c r="E105" s="1723">
        <f>D105*5/3</f>
        <v>183.33333333333334</v>
      </c>
      <c r="F105" s="1478">
        <v>0</v>
      </c>
      <c r="G105" s="1723">
        <f>F105*5/3</f>
        <v>0</v>
      </c>
      <c r="H105" s="1478">
        <v>1</v>
      </c>
      <c r="I105" s="1728">
        <f>H105*5/3</f>
        <v>1.6666666666666667</v>
      </c>
    </row>
    <row r="106" spans="2:9">
      <c r="B106" s="1480">
        <v>22</v>
      </c>
      <c r="C106" s="1415"/>
      <c r="D106" s="1481"/>
      <c r="E106" s="1482"/>
      <c r="F106" s="1483"/>
      <c r="G106" s="1482"/>
      <c r="H106" s="1483"/>
      <c r="I106" s="1484"/>
    </row>
    <row r="107" spans="2:9">
      <c r="B107" s="1480">
        <v>23</v>
      </c>
      <c r="C107" s="1415"/>
      <c r="D107" s="1481"/>
      <c r="E107" s="1482"/>
      <c r="F107" s="1483"/>
      <c r="G107" s="1482"/>
      <c r="H107" s="1483"/>
      <c r="I107" s="1484"/>
    </row>
    <row r="108" spans="2:9">
      <c r="B108" s="1480">
        <v>24</v>
      </c>
      <c r="C108" s="1415"/>
      <c r="D108" s="1481"/>
      <c r="E108" s="1482"/>
      <c r="F108" s="1483"/>
      <c r="G108" s="1482"/>
      <c r="H108" s="1483"/>
      <c r="I108" s="1484"/>
    </row>
    <row r="109" spans="2:9" ht="15.5" thickBot="1">
      <c r="B109" s="1485">
        <v>25</v>
      </c>
      <c r="C109" s="1430"/>
      <c r="D109" s="1486"/>
      <c r="E109" s="1487"/>
      <c r="F109" s="1488"/>
      <c r="G109" s="1487"/>
      <c r="H109" s="1488"/>
      <c r="I109" s="1489"/>
    </row>
    <row r="110" spans="2:9" ht="15.5" thickTop="1">
      <c r="B110" s="1490">
        <v>26</v>
      </c>
      <c r="C110" s="1440"/>
      <c r="D110" s="1491">
        <v>356</v>
      </c>
      <c r="E110" s="1723">
        <f>D110</f>
        <v>356</v>
      </c>
      <c r="F110" s="1493">
        <v>0</v>
      </c>
      <c r="G110" s="1723">
        <f>F110</f>
        <v>0</v>
      </c>
      <c r="H110" s="1493">
        <v>0</v>
      </c>
      <c r="I110" s="1728">
        <f>H110</f>
        <v>0</v>
      </c>
    </row>
    <row r="111" spans="2:9">
      <c r="B111" s="1480">
        <v>27</v>
      </c>
      <c r="C111" s="1415" t="s">
        <v>298</v>
      </c>
      <c r="D111" s="1481"/>
      <c r="E111" s="1482"/>
      <c r="F111" s="1483"/>
      <c r="G111" s="1482"/>
      <c r="H111" s="1483"/>
      <c r="I111" s="1484"/>
    </row>
    <row r="112" spans="2:9">
      <c r="B112" s="1480">
        <v>28</v>
      </c>
      <c r="C112" s="1415"/>
      <c r="D112" s="1481"/>
      <c r="E112" s="1482"/>
      <c r="F112" s="1483"/>
      <c r="G112" s="1482"/>
      <c r="H112" s="1483"/>
      <c r="I112" s="1484"/>
    </row>
    <row r="113" spans="2:10">
      <c r="B113" s="1480">
        <v>29</v>
      </c>
      <c r="C113" s="1415"/>
      <c r="D113" s="1481"/>
      <c r="E113" s="1482"/>
      <c r="F113" s="1483"/>
      <c r="G113" s="1482"/>
      <c r="H113" s="1483"/>
      <c r="I113" s="1484"/>
    </row>
    <row r="114" spans="2:10">
      <c r="B114" s="1480">
        <v>30</v>
      </c>
      <c r="C114" s="1415"/>
      <c r="D114" s="1481"/>
      <c r="E114" s="1487"/>
      <c r="F114" s="1483"/>
      <c r="G114" s="1487"/>
      <c r="H114" s="1483"/>
      <c r="I114" s="1489"/>
    </row>
    <row r="115" spans="2:10" ht="15.5" thickBot="1">
      <c r="B115" s="1495">
        <v>31</v>
      </c>
      <c r="C115" s="1452"/>
      <c r="D115" s="1496"/>
      <c r="E115" s="1498"/>
      <c r="F115" s="1497"/>
      <c r="G115" s="1498"/>
      <c r="H115" s="1497"/>
      <c r="I115" s="1499"/>
    </row>
    <row r="116" spans="2:10" ht="15.5" thickTop="1">
      <c r="B116" s="1475">
        <v>1</v>
      </c>
      <c r="C116" s="1404" t="s">
        <v>299</v>
      </c>
      <c r="D116" s="1476">
        <v>593</v>
      </c>
      <c r="E116" s="1722">
        <f>D116*5/6</f>
        <v>494.16666666666669</v>
      </c>
      <c r="F116" s="1478">
        <v>18</v>
      </c>
      <c r="G116" s="1722">
        <f>F116*5/6</f>
        <v>15</v>
      </c>
      <c r="H116" s="1478">
        <v>0</v>
      </c>
      <c r="I116" s="1727">
        <f>H116*5/6</f>
        <v>0</v>
      </c>
    </row>
    <row r="117" spans="2:10">
      <c r="B117" s="1480">
        <v>2</v>
      </c>
      <c r="C117" s="1415"/>
      <c r="D117" s="1481"/>
      <c r="E117" s="1482"/>
      <c r="F117" s="1483"/>
      <c r="G117" s="1482"/>
      <c r="H117" s="1483"/>
      <c r="I117" s="1484"/>
    </row>
    <row r="118" spans="2:10">
      <c r="B118" s="1480">
        <v>3</v>
      </c>
      <c r="C118" s="1415"/>
      <c r="D118" s="1481"/>
      <c r="E118" s="1482"/>
      <c r="F118" s="1483"/>
      <c r="G118" s="1482"/>
      <c r="H118" s="1483"/>
      <c r="I118" s="1484"/>
    </row>
    <row r="119" spans="2:10">
      <c r="B119" s="1480">
        <v>4</v>
      </c>
      <c r="C119" s="1415"/>
      <c r="D119" s="1481"/>
      <c r="E119" s="1482"/>
      <c r="F119" s="1483"/>
      <c r="G119" s="1482"/>
      <c r="H119" s="1483"/>
      <c r="I119" s="1484"/>
    </row>
    <row r="120" spans="2:10" ht="15.5" thickBot="1">
      <c r="B120" s="1500">
        <v>5</v>
      </c>
      <c r="C120" s="1461"/>
      <c r="D120" s="1501"/>
      <c r="E120" s="1502"/>
      <c r="F120" s="1503"/>
      <c r="G120" s="1502"/>
      <c r="H120" s="1503"/>
      <c r="I120" s="1505"/>
      <c r="J120" s="1402"/>
    </row>
    <row r="122" spans="2:10" ht="15.5" thickBot="1">
      <c r="B122" s="1470">
        <f>B2</f>
        <v>2026</v>
      </c>
      <c r="C122" s="1470" t="s">
        <v>420</v>
      </c>
      <c r="D122" s="1470">
        <v>6</v>
      </c>
      <c r="E122" s="1470" t="s">
        <v>442</v>
      </c>
      <c r="F122" s="1470">
        <v>15</v>
      </c>
      <c r="G122" s="1470" t="s">
        <v>443</v>
      </c>
      <c r="H122" s="1470"/>
      <c r="I122" s="1470"/>
    </row>
    <row r="123" spans="2:10">
      <c r="B123" s="1898" t="s">
        <v>444</v>
      </c>
      <c r="C123" s="1898" t="s">
        <v>422</v>
      </c>
      <c r="D123" s="1897" t="s">
        <v>548</v>
      </c>
      <c r="E123" s="1896"/>
      <c r="F123" s="1894" t="s">
        <v>547</v>
      </c>
      <c r="G123" s="1896"/>
      <c r="H123" s="1894" t="s">
        <v>546</v>
      </c>
      <c r="I123" s="1895"/>
    </row>
    <row r="124" spans="2:10" ht="38" thickBot="1">
      <c r="B124" s="1899"/>
      <c r="C124" s="1899"/>
      <c r="D124" s="1472" t="s">
        <v>445</v>
      </c>
      <c r="E124" s="1473" t="s">
        <v>446</v>
      </c>
      <c r="F124" s="1472" t="s">
        <v>445</v>
      </c>
      <c r="G124" s="1473" t="s">
        <v>447</v>
      </c>
      <c r="H124" s="1472" t="s">
        <v>445</v>
      </c>
      <c r="I124" s="1474" t="s">
        <v>447</v>
      </c>
    </row>
    <row r="125" spans="2:10">
      <c r="B125" s="1475">
        <v>1</v>
      </c>
      <c r="C125" s="1404"/>
      <c r="D125" s="1794"/>
      <c r="E125" s="1477" t="s">
        <v>437</v>
      </c>
      <c r="F125" s="1793"/>
      <c r="G125" s="1477" t="s">
        <v>437</v>
      </c>
      <c r="H125" s="1793"/>
      <c r="I125" s="1479" t="s">
        <v>437</v>
      </c>
    </row>
    <row r="126" spans="2:10">
      <c r="B126" s="1480">
        <v>2</v>
      </c>
      <c r="C126" s="1415"/>
      <c r="D126" s="1795"/>
      <c r="E126" s="1482"/>
      <c r="F126" s="1797"/>
      <c r="G126" s="1482"/>
      <c r="H126" s="1797"/>
      <c r="I126" s="1484"/>
    </row>
    <row r="127" spans="2:10">
      <c r="B127" s="1480">
        <v>3</v>
      </c>
      <c r="C127" s="1415"/>
      <c r="D127" s="1795"/>
      <c r="E127" s="1482"/>
      <c r="F127" s="1797"/>
      <c r="G127" s="1482"/>
      <c r="H127" s="1797"/>
      <c r="I127" s="1484"/>
    </row>
    <row r="128" spans="2:10">
      <c r="B128" s="1480">
        <v>4</v>
      </c>
      <c r="C128" s="1415"/>
      <c r="D128" s="1795"/>
      <c r="E128" s="1482"/>
      <c r="F128" s="1797"/>
      <c r="G128" s="1482"/>
      <c r="H128" s="1797"/>
      <c r="I128" s="1484"/>
    </row>
    <row r="129" spans="2:9" ht="15.5" thickBot="1">
      <c r="B129" s="1485">
        <v>5</v>
      </c>
      <c r="C129" s="1430"/>
      <c r="D129" s="1796"/>
      <c r="E129" s="1487"/>
      <c r="F129" s="1798"/>
      <c r="G129" s="1487"/>
      <c r="H129" s="1798"/>
      <c r="I129" s="1489"/>
    </row>
    <row r="130" spans="2:9" ht="15.5" thickTop="1">
      <c r="B130" s="1490">
        <v>6</v>
      </c>
      <c r="C130" s="1440" t="s">
        <v>294</v>
      </c>
      <c r="D130" s="1493"/>
      <c r="E130" s="1722">
        <f>D132*5/7</f>
        <v>154.28571428571428</v>
      </c>
      <c r="F130" s="1493"/>
      <c r="G130" s="1722">
        <f>F132*5/7</f>
        <v>47.142857142857146</v>
      </c>
      <c r="H130" s="1493"/>
      <c r="I130" s="1727">
        <f>H132*5/7</f>
        <v>0.7142857142857143</v>
      </c>
    </row>
    <row r="131" spans="2:9">
      <c r="B131" s="1480">
        <v>7</v>
      </c>
      <c r="C131" s="1415"/>
      <c r="D131" s="1483"/>
      <c r="E131" s="1482"/>
      <c r="F131" s="1483"/>
      <c r="G131" s="1482"/>
      <c r="H131" s="1483"/>
      <c r="I131" s="1484"/>
    </row>
    <row r="132" spans="2:9">
      <c r="B132" s="1480">
        <v>8</v>
      </c>
      <c r="C132" s="1415"/>
      <c r="D132" s="1483">
        <v>216</v>
      </c>
      <c r="E132" s="1482"/>
      <c r="F132" s="1483">
        <v>66</v>
      </c>
      <c r="G132" s="1482"/>
      <c r="H132" s="1483">
        <v>1</v>
      </c>
      <c r="I132" s="1484"/>
    </row>
    <row r="133" spans="2:9">
      <c r="B133" s="1480">
        <v>9</v>
      </c>
      <c r="C133" s="1415"/>
      <c r="D133" s="1483"/>
      <c r="E133" s="1482"/>
      <c r="F133" s="1483"/>
      <c r="G133" s="1482"/>
      <c r="H133" s="1483"/>
      <c r="I133" s="1484"/>
    </row>
    <row r="134" spans="2:9" ht="15.5" thickBot="1">
      <c r="B134" s="1495">
        <v>10</v>
      </c>
      <c r="C134" s="1452"/>
      <c r="D134" s="1497"/>
      <c r="E134" s="1487"/>
      <c r="F134" s="1497"/>
      <c r="G134" s="1487"/>
      <c r="H134" s="1497"/>
      <c r="I134" s="1489"/>
    </row>
    <row r="135" spans="2:9" ht="15.5" thickTop="1">
      <c r="B135" s="1475">
        <v>11</v>
      </c>
      <c r="C135" s="1404" t="s">
        <v>295</v>
      </c>
      <c r="D135" s="1478">
        <v>51</v>
      </c>
      <c r="E135" s="1722">
        <f>D135*5/3</f>
        <v>85</v>
      </c>
      <c r="F135" s="1478">
        <v>148</v>
      </c>
      <c r="G135" s="1722">
        <f>F135*5/3</f>
        <v>246.66666666666666</v>
      </c>
      <c r="H135" s="1478">
        <v>0</v>
      </c>
      <c r="I135" s="1727">
        <f>H135*5/3</f>
        <v>0</v>
      </c>
    </row>
    <row r="136" spans="2:9">
      <c r="B136" s="1480">
        <v>12</v>
      </c>
      <c r="C136" s="1415"/>
      <c r="D136" s="1483"/>
      <c r="E136" s="1482"/>
      <c r="F136" s="1483"/>
      <c r="G136" s="1482"/>
      <c r="H136" s="1483"/>
      <c r="I136" s="1484"/>
    </row>
    <row r="137" spans="2:9">
      <c r="B137" s="1480">
        <v>13</v>
      </c>
      <c r="C137" s="1415"/>
      <c r="D137" s="1483"/>
      <c r="E137" s="1482"/>
      <c r="F137" s="1483"/>
      <c r="G137" s="1482"/>
      <c r="H137" s="1483"/>
      <c r="I137" s="1484"/>
    </row>
    <row r="138" spans="2:9">
      <c r="B138" s="1480">
        <v>14</v>
      </c>
      <c r="C138" s="1415"/>
      <c r="D138" s="1483"/>
      <c r="E138" s="1482"/>
      <c r="F138" s="1483"/>
      <c r="G138" s="1482"/>
      <c r="H138" s="1483"/>
      <c r="I138" s="1484"/>
    </row>
    <row r="139" spans="2:9" ht="15.5" thickBot="1">
      <c r="B139" s="1485">
        <v>15</v>
      </c>
      <c r="C139" s="1430"/>
      <c r="D139" s="1488"/>
      <c r="E139" s="1487"/>
      <c r="F139" s="1488"/>
      <c r="G139" s="1487"/>
      <c r="H139" s="1488"/>
      <c r="I139" s="1489"/>
    </row>
    <row r="140" spans="2:9" ht="15.5" thickTop="1">
      <c r="B140" s="1490">
        <v>16</v>
      </c>
      <c r="C140" s="1440" t="s">
        <v>296</v>
      </c>
      <c r="D140" s="1493">
        <v>52</v>
      </c>
      <c r="E140" s="1722">
        <f>D140</f>
        <v>52</v>
      </c>
      <c r="F140" s="1493">
        <v>261</v>
      </c>
      <c r="G140" s="1722">
        <f>F140</f>
        <v>261</v>
      </c>
      <c r="H140" s="1493">
        <v>1</v>
      </c>
      <c r="I140" s="1727">
        <f>H140</f>
        <v>1</v>
      </c>
    </row>
    <row r="141" spans="2:9">
      <c r="B141" s="1480">
        <v>17</v>
      </c>
      <c r="C141" s="1415"/>
      <c r="D141" s="1483"/>
      <c r="E141" s="1482"/>
      <c r="F141" s="1483"/>
      <c r="G141" s="1482"/>
      <c r="H141" s="1483"/>
      <c r="I141" s="1484"/>
    </row>
    <row r="142" spans="2:9">
      <c r="B142" s="1480">
        <v>18</v>
      </c>
      <c r="C142" s="1415"/>
      <c r="D142" s="1483"/>
      <c r="E142" s="1482"/>
      <c r="F142" s="1483"/>
      <c r="G142" s="1482"/>
      <c r="H142" s="1483"/>
      <c r="I142" s="1484"/>
    </row>
    <row r="143" spans="2:9">
      <c r="B143" s="1480">
        <v>19</v>
      </c>
      <c r="C143" s="1415"/>
      <c r="D143" s="1483"/>
      <c r="E143" s="1482"/>
      <c r="F143" s="1483"/>
      <c r="G143" s="1482"/>
      <c r="H143" s="1483"/>
      <c r="I143" s="1484"/>
    </row>
    <row r="144" spans="2:9" ht="15.5" thickBot="1">
      <c r="B144" s="1495">
        <v>20</v>
      </c>
      <c r="C144" s="1452"/>
      <c r="D144" s="1497"/>
      <c r="E144" s="1487"/>
      <c r="F144" s="1497"/>
      <c r="G144" s="1487"/>
      <c r="H144" s="1497"/>
      <c r="I144" s="1489"/>
    </row>
    <row r="145" spans="2:10" ht="15.5" thickTop="1">
      <c r="B145" s="1475">
        <v>21</v>
      </c>
      <c r="C145" s="1404" t="s">
        <v>297</v>
      </c>
      <c r="D145" s="1478"/>
      <c r="E145" s="1722">
        <f>D146*5/6</f>
        <v>31.666666666666668</v>
      </c>
      <c r="F145" s="1478"/>
      <c r="G145" s="1722">
        <f>F146*5/6</f>
        <v>228.33333333333334</v>
      </c>
      <c r="H145" s="1478"/>
      <c r="I145" s="1727">
        <f>H146*5/6</f>
        <v>0</v>
      </c>
    </row>
    <row r="146" spans="2:10">
      <c r="B146" s="1480">
        <v>22</v>
      </c>
      <c r="C146" s="1415"/>
      <c r="D146" s="1483">
        <v>38</v>
      </c>
      <c r="E146" s="1482"/>
      <c r="F146" s="1483">
        <v>274</v>
      </c>
      <c r="G146" s="1482"/>
      <c r="H146" s="1483">
        <v>0</v>
      </c>
      <c r="I146" s="1484"/>
    </row>
    <row r="147" spans="2:10">
      <c r="B147" s="1480">
        <v>23</v>
      </c>
      <c r="C147" s="1415"/>
      <c r="D147" s="1483"/>
      <c r="E147" s="1482"/>
      <c r="F147" s="1483"/>
      <c r="G147" s="1482"/>
      <c r="H147" s="1483"/>
      <c r="I147" s="1484"/>
    </row>
    <row r="148" spans="2:10">
      <c r="B148" s="1480">
        <v>24</v>
      </c>
      <c r="C148" s="1415"/>
      <c r="D148" s="1483"/>
      <c r="E148" s="1482"/>
      <c r="F148" s="1483"/>
      <c r="G148" s="1482"/>
      <c r="H148" s="1483"/>
      <c r="I148" s="1484"/>
    </row>
    <row r="149" spans="2:10" ht="15.5" thickBot="1">
      <c r="B149" s="1485">
        <v>25</v>
      </c>
      <c r="C149" s="1430"/>
      <c r="D149" s="1488"/>
      <c r="E149" s="1487"/>
      <c r="F149" s="1488"/>
      <c r="G149" s="1487"/>
      <c r="H149" s="1488"/>
      <c r="I149" s="1489"/>
    </row>
    <row r="150" spans="2:10" ht="15.5" thickTop="1">
      <c r="B150" s="1490">
        <v>26</v>
      </c>
      <c r="C150" s="1440" t="s">
        <v>298</v>
      </c>
      <c r="D150" s="1493"/>
      <c r="E150" s="1722" t="e">
        <v>#N/A</v>
      </c>
      <c r="F150" s="1493"/>
      <c r="G150" s="1722" t="e">
        <v>#N/A</v>
      </c>
      <c r="H150" s="1493"/>
      <c r="I150" s="1727" t="e">
        <v>#N/A</v>
      </c>
    </row>
    <row r="151" spans="2:10">
      <c r="B151" s="1480">
        <v>27</v>
      </c>
      <c r="C151" s="1415"/>
      <c r="D151" s="1483"/>
      <c r="E151" s="1482"/>
      <c r="F151" s="1483"/>
      <c r="G151" s="1482"/>
      <c r="H151" s="1483"/>
      <c r="I151" s="1484"/>
    </row>
    <row r="152" spans="2:10">
      <c r="B152" s="1480">
        <v>28</v>
      </c>
      <c r="C152" s="1415"/>
      <c r="D152" s="1483"/>
      <c r="E152" s="1482"/>
      <c r="F152" s="1483"/>
      <c r="G152" s="1482"/>
      <c r="H152" s="1483"/>
      <c r="I152" s="1484"/>
    </row>
    <row r="153" spans="2:10">
      <c r="B153" s="1480">
        <v>29</v>
      </c>
      <c r="C153" s="1415"/>
      <c r="D153" s="1483"/>
      <c r="E153" s="1482"/>
      <c r="F153" s="1483"/>
      <c r="G153" s="1482"/>
      <c r="H153" s="1483"/>
      <c r="I153" s="1484"/>
    </row>
    <row r="154" spans="2:10">
      <c r="B154" s="1480">
        <v>30</v>
      </c>
      <c r="C154" s="1415"/>
      <c r="D154" s="1483"/>
      <c r="E154" s="1487"/>
      <c r="F154" s="1483"/>
      <c r="G154" s="1487"/>
      <c r="H154" s="1483"/>
      <c r="I154" s="1489"/>
    </row>
    <row r="155" spans="2:10" ht="15.5" thickBot="1">
      <c r="B155" s="1495"/>
      <c r="C155" s="1452"/>
      <c r="D155" s="1497"/>
      <c r="E155" s="1498"/>
      <c r="F155" s="1497"/>
      <c r="G155" s="1498"/>
      <c r="H155" s="1497"/>
      <c r="I155" s="1499"/>
    </row>
    <row r="156" spans="2:10" ht="15.5" thickTop="1">
      <c r="B156" s="1475">
        <v>1</v>
      </c>
      <c r="C156" s="1404"/>
      <c r="D156" s="1478"/>
      <c r="E156" s="1723" t="e">
        <v>#N/A</v>
      </c>
      <c r="F156" s="1478"/>
      <c r="G156" s="1723" t="e">
        <v>#N/A</v>
      </c>
      <c r="H156" s="1478"/>
      <c r="I156" s="1728" t="e">
        <v>#N/A</v>
      </c>
    </row>
    <row r="157" spans="2:10">
      <c r="B157" s="1480">
        <v>2</v>
      </c>
      <c r="C157" s="1415" t="s">
        <v>299</v>
      </c>
      <c r="D157" s="1481"/>
      <c r="E157" s="1482"/>
      <c r="F157" s="1483"/>
      <c r="G157" s="1482"/>
      <c r="H157" s="1483"/>
      <c r="I157" s="1484"/>
    </row>
    <row r="158" spans="2:10">
      <c r="B158" s="1480">
        <v>3</v>
      </c>
      <c r="C158" s="1415"/>
      <c r="D158" s="1481"/>
      <c r="E158" s="1482"/>
      <c r="F158" s="1483"/>
      <c r="G158" s="1482"/>
      <c r="H158" s="1483"/>
      <c r="I158" s="1484"/>
    </row>
    <row r="159" spans="2:10">
      <c r="B159" s="1480">
        <v>4</v>
      </c>
      <c r="C159" s="1415"/>
      <c r="D159" s="1481"/>
      <c r="E159" s="1482"/>
      <c r="F159" s="1483"/>
      <c r="G159" s="1482"/>
      <c r="H159" s="1483"/>
      <c r="I159" s="1484"/>
    </row>
    <row r="160" spans="2:10" ht="15.5" thickBot="1">
      <c r="B160" s="1500">
        <v>5</v>
      </c>
      <c r="C160" s="1461"/>
      <c r="D160" s="1501"/>
      <c r="E160" s="1502"/>
      <c r="F160" s="1503"/>
      <c r="G160" s="1502"/>
      <c r="H160" s="1503"/>
      <c r="I160" s="1505"/>
      <c r="J160" s="1402"/>
    </row>
    <row r="162" spans="2:9" ht="15.5" thickBot="1">
      <c r="B162" s="1470">
        <f>B2</f>
        <v>2026</v>
      </c>
      <c r="C162" s="1470" t="s">
        <v>420</v>
      </c>
      <c r="D162" s="1470">
        <v>7</v>
      </c>
      <c r="E162" s="1470" t="s">
        <v>442</v>
      </c>
      <c r="F162" s="1470">
        <v>15</v>
      </c>
      <c r="G162" s="1470" t="s">
        <v>443</v>
      </c>
      <c r="H162" s="1470"/>
      <c r="I162" s="1470"/>
    </row>
    <row r="163" spans="2:9">
      <c r="B163" s="1898" t="s">
        <v>444</v>
      </c>
      <c r="C163" s="1898" t="s">
        <v>422</v>
      </c>
      <c r="D163" s="1897" t="s">
        <v>548</v>
      </c>
      <c r="E163" s="1896"/>
      <c r="F163" s="1894" t="s">
        <v>547</v>
      </c>
      <c r="G163" s="1896"/>
      <c r="H163" s="1894" t="s">
        <v>546</v>
      </c>
      <c r="I163" s="1895"/>
    </row>
    <row r="164" spans="2:9" ht="38" thickBot="1">
      <c r="B164" s="1899"/>
      <c r="C164" s="1899"/>
      <c r="D164" s="1472" t="s">
        <v>445</v>
      </c>
      <c r="E164" s="1473" t="s">
        <v>446</v>
      </c>
      <c r="F164" s="1472" t="s">
        <v>445</v>
      </c>
      <c r="G164" s="1473" t="s">
        <v>447</v>
      </c>
      <c r="H164" s="1472" t="s">
        <v>445</v>
      </c>
      <c r="I164" s="1474" t="s">
        <v>447</v>
      </c>
    </row>
    <row r="165" spans="2:9">
      <c r="B165" s="1475">
        <v>1</v>
      </c>
      <c r="C165" s="1404"/>
      <c r="D165" s="1794"/>
      <c r="E165" s="1477" t="s">
        <v>437</v>
      </c>
      <c r="F165" s="1793"/>
      <c r="G165" s="1477" t="s">
        <v>437</v>
      </c>
      <c r="H165" s="1793"/>
      <c r="I165" s="1479" t="s">
        <v>437</v>
      </c>
    </row>
    <row r="166" spans="2:9">
      <c r="B166" s="1480">
        <v>2</v>
      </c>
      <c r="C166" s="1415"/>
      <c r="D166" s="1795"/>
      <c r="E166" s="1482"/>
      <c r="F166" s="1797"/>
      <c r="G166" s="1482"/>
      <c r="H166" s="1797"/>
      <c r="I166" s="1484"/>
    </row>
    <row r="167" spans="2:9">
      <c r="B167" s="1480">
        <v>3</v>
      </c>
      <c r="C167" s="1415"/>
      <c r="D167" s="1795"/>
      <c r="E167" s="1482"/>
      <c r="F167" s="1797"/>
      <c r="G167" s="1482"/>
      <c r="H167" s="1797"/>
      <c r="I167" s="1484"/>
    </row>
    <row r="168" spans="2:9">
      <c r="B168" s="1480">
        <v>4</v>
      </c>
      <c r="C168" s="1415"/>
      <c r="D168" s="1795"/>
      <c r="E168" s="1482"/>
      <c r="F168" s="1797"/>
      <c r="G168" s="1482"/>
      <c r="H168" s="1797"/>
      <c r="I168" s="1484"/>
    </row>
    <row r="169" spans="2:9" ht="15.5" thickBot="1">
      <c r="B169" s="1485">
        <v>5</v>
      </c>
      <c r="C169" s="1430"/>
      <c r="D169" s="1796"/>
      <c r="E169" s="1487"/>
      <c r="F169" s="1798"/>
      <c r="G169" s="1487"/>
      <c r="H169" s="1798"/>
      <c r="I169" s="1489"/>
    </row>
    <row r="170" spans="2:9" ht="15.5" thickTop="1">
      <c r="B170" s="1490">
        <v>6</v>
      </c>
      <c r="C170" s="1440"/>
      <c r="D170" s="1493"/>
      <c r="E170" s="1722" t="e">
        <v>#N/A</v>
      </c>
      <c r="F170" s="1493"/>
      <c r="G170" s="1722" t="e">
        <v>#N/A</v>
      </c>
      <c r="H170" s="1493"/>
      <c r="I170" s="1727" t="e">
        <v>#N/A</v>
      </c>
    </row>
    <row r="171" spans="2:9">
      <c r="B171" s="1480">
        <v>7</v>
      </c>
      <c r="C171" s="1415" t="s">
        <v>294</v>
      </c>
      <c r="D171" s="1483"/>
      <c r="E171" s="1482"/>
      <c r="F171" s="1483"/>
      <c r="G171" s="1482"/>
      <c r="H171" s="1483"/>
      <c r="I171" s="1484"/>
    </row>
    <row r="172" spans="2:9">
      <c r="B172" s="1480">
        <v>8</v>
      </c>
      <c r="C172" s="1415"/>
      <c r="D172" s="1483"/>
      <c r="E172" s="1482"/>
      <c r="F172" s="1483"/>
      <c r="G172" s="1482"/>
      <c r="H172" s="1483"/>
      <c r="I172" s="1484"/>
    </row>
    <row r="173" spans="2:9">
      <c r="B173" s="1480">
        <v>9</v>
      </c>
      <c r="C173" s="1415"/>
      <c r="D173" s="1483"/>
      <c r="E173" s="1482"/>
      <c r="F173" s="1483"/>
      <c r="G173" s="1482"/>
      <c r="H173" s="1483"/>
      <c r="I173" s="1484"/>
    </row>
    <row r="174" spans="2:9" ht="15.5" thickBot="1">
      <c r="B174" s="1495">
        <v>10</v>
      </c>
      <c r="C174" s="1452"/>
      <c r="D174" s="1497"/>
      <c r="E174" s="1487"/>
      <c r="F174" s="1497"/>
      <c r="G174" s="1487"/>
      <c r="H174" s="1497"/>
      <c r="I174" s="1489"/>
    </row>
    <row r="175" spans="2:9" ht="15.5" thickTop="1">
      <c r="B175" s="1475">
        <v>11</v>
      </c>
      <c r="C175" s="1404" t="s">
        <v>295</v>
      </c>
      <c r="D175" s="1478"/>
      <c r="E175" s="1722" t="e">
        <v>#N/A</v>
      </c>
      <c r="F175" s="1478"/>
      <c r="G175" s="1722" t="e">
        <v>#N/A</v>
      </c>
      <c r="H175" s="1478"/>
      <c r="I175" s="1727" t="e">
        <v>#N/A</v>
      </c>
    </row>
    <row r="176" spans="2:9">
      <c r="B176" s="1480">
        <v>12</v>
      </c>
      <c r="C176" s="1415"/>
      <c r="D176" s="1483"/>
      <c r="E176" s="1482"/>
      <c r="F176" s="1483"/>
      <c r="G176" s="1482"/>
      <c r="H176" s="1483"/>
      <c r="I176" s="1484"/>
    </row>
    <row r="177" spans="2:9">
      <c r="B177" s="1480">
        <v>13</v>
      </c>
      <c r="C177" s="1415"/>
      <c r="D177" s="1483"/>
      <c r="E177" s="1482"/>
      <c r="F177" s="1483"/>
      <c r="G177" s="1482"/>
      <c r="H177" s="1483"/>
      <c r="I177" s="1484"/>
    </row>
    <row r="178" spans="2:9">
      <c r="B178" s="1480">
        <v>14</v>
      </c>
      <c r="C178" s="1415"/>
      <c r="D178" s="1483"/>
      <c r="E178" s="1482"/>
      <c r="F178" s="1483"/>
      <c r="G178" s="1482"/>
      <c r="H178" s="1483"/>
      <c r="I178" s="1484"/>
    </row>
    <row r="179" spans="2:9" ht="15.5" thickBot="1">
      <c r="B179" s="1485">
        <v>15</v>
      </c>
      <c r="C179" s="1430"/>
      <c r="D179" s="1488"/>
      <c r="E179" s="1487"/>
      <c r="F179" s="1488"/>
      <c r="G179" s="1487"/>
      <c r="H179" s="1488"/>
      <c r="I179" s="1489"/>
    </row>
    <row r="180" spans="2:9" ht="15.5" thickTop="1">
      <c r="B180" s="1490">
        <v>16</v>
      </c>
      <c r="C180" s="1440" t="s">
        <v>296</v>
      </c>
      <c r="D180" s="1493"/>
      <c r="E180" s="1723" t="e">
        <v>#N/A</v>
      </c>
      <c r="F180" s="1493"/>
      <c r="G180" s="1723" t="e">
        <v>#N/A</v>
      </c>
      <c r="H180" s="1493"/>
      <c r="I180" s="1728" t="e">
        <v>#N/A</v>
      </c>
    </row>
    <row r="181" spans="2:9">
      <c r="B181" s="1480">
        <v>17</v>
      </c>
      <c r="C181" s="1415"/>
      <c r="D181" s="1483"/>
      <c r="E181" s="1482"/>
      <c r="F181" s="1483"/>
      <c r="G181" s="1482"/>
      <c r="H181" s="1483"/>
      <c r="I181" s="1484"/>
    </row>
    <row r="182" spans="2:9">
      <c r="B182" s="1480">
        <v>18</v>
      </c>
      <c r="C182" s="1415"/>
      <c r="D182" s="1483"/>
      <c r="E182" s="1482"/>
      <c r="F182" s="1483"/>
      <c r="G182" s="1482"/>
      <c r="H182" s="1483"/>
      <c r="I182" s="1484"/>
    </row>
    <row r="183" spans="2:9">
      <c r="B183" s="1480">
        <v>19</v>
      </c>
      <c r="C183" s="1415"/>
      <c r="D183" s="1483"/>
      <c r="E183" s="1482"/>
      <c r="F183" s="1483"/>
      <c r="G183" s="1482"/>
      <c r="H183" s="1483"/>
      <c r="I183" s="1484"/>
    </row>
    <row r="184" spans="2:9" ht="15.5" thickBot="1">
      <c r="B184" s="1495">
        <v>20</v>
      </c>
      <c r="C184" s="1452"/>
      <c r="D184" s="1497"/>
      <c r="E184" s="1487"/>
      <c r="F184" s="1497"/>
      <c r="G184" s="1487"/>
      <c r="H184" s="1497"/>
      <c r="I184" s="1489"/>
    </row>
    <row r="185" spans="2:9" ht="15.5" thickTop="1">
      <c r="B185" s="1475">
        <v>21</v>
      </c>
      <c r="C185" s="1404"/>
      <c r="D185" s="1478"/>
      <c r="E185" s="1723" t="e">
        <v>#N/A</v>
      </c>
      <c r="F185" s="1478"/>
      <c r="G185" s="1723" t="e">
        <v>#N/A</v>
      </c>
      <c r="H185" s="1478"/>
      <c r="I185" s="1728" t="e">
        <v>#N/A</v>
      </c>
    </row>
    <row r="186" spans="2:9">
      <c r="B186" s="1480">
        <v>22</v>
      </c>
      <c r="C186" s="1415" t="s">
        <v>297</v>
      </c>
      <c r="D186" s="1483"/>
      <c r="E186" s="1482"/>
      <c r="F186" s="1483"/>
      <c r="G186" s="1482"/>
      <c r="H186" s="1483"/>
      <c r="I186" s="1484"/>
    </row>
    <row r="187" spans="2:9">
      <c r="B187" s="1480">
        <v>23</v>
      </c>
      <c r="C187" s="1415"/>
      <c r="D187" s="1483"/>
      <c r="E187" s="1482"/>
      <c r="F187" s="1483"/>
      <c r="G187" s="1482"/>
      <c r="H187" s="1483"/>
      <c r="I187" s="1484"/>
    </row>
    <row r="188" spans="2:9">
      <c r="B188" s="1480">
        <v>24</v>
      </c>
      <c r="C188" s="1415"/>
      <c r="D188" s="1483"/>
      <c r="E188" s="1482"/>
      <c r="F188" s="1483"/>
      <c r="G188" s="1482"/>
      <c r="H188" s="1483"/>
      <c r="I188" s="1484"/>
    </row>
    <row r="189" spans="2:9" ht="15.5" thickBot="1">
      <c r="B189" s="1485">
        <v>25</v>
      </c>
      <c r="C189" s="1430"/>
      <c r="D189" s="1488"/>
      <c r="E189" s="1487"/>
      <c r="F189" s="1488"/>
      <c r="G189" s="1487"/>
      <c r="H189" s="1488"/>
      <c r="I189" s="1489"/>
    </row>
    <row r="190" spans="2:9" ht="15.5" thickTop="1">
      <c r="B190" s="1490">
        <v>26</v>
      </c>
      <c r="C190" s="1440"/>
      <c r="D190" s="1493"/>
      <c r="E190" s="1722" t="e">
        <v>#N/A</v>
      </c>
      <c r="F190" s="1493"/>
      <c r="G190" s="1722" t="e">
        <v>#N/A</v>
      </c>
      <c r="H190" s="1493"/>
      <c r="I190" s="1727" t="e">
        <v>#N/A</v>
      </c>
    </row>
    <row r="191" spans="2:9">
      <c r="B191" s="1480">
        <v>27</v>
      </c>
      <c r="C191" s="1415"/>
      <c r="D191" s="1483"/>
      <c r="E191" s="1482"/>
      <c r="F191" s="1483"/>
      <c r="G191" s="1482"/>
      <c r="H191" s="1483"/>
      <c r="I191" s="1484"/>
    </row>
    <row r="192" spans="2:9">
      <c r="B192" s="1480">
        <v>28</v>
      </c>
      <c r="C192" s="1415" t="s">
        <v>298</v>
      </c>
      <c r="D192" s="1483"/>
      <c r="E192" s="1482"/>
      <c r="F192" s="1483"/>
      <c r="G192" s="1482"/>
      <c r="H192" s="1483"/>
      <c r="I192" s="1484"/>
    </row>
    <row r="193" spans="2:10">
      <c r="B193" s="1480">
        <v>29</v>
      </c>
      <c r="C193" s="1415"/>
      <c r="D193" s="1483"/>
      <c r="E193" s="1482"/>
      <c r="F193" s="1483"/>
      <c r="G193" s="1482"/>
      <c r="H193" s="1483"/>
      <c r="I193" s="1484"/>
    </row>
    <row r="194" spans="2:10">
      <c r="B194" s="1480">
        <v>30</v>
      </c>
      <c r="C194" s="1415"/>
      <c r="D194" s="1483"/>
      <c r="E194" s="1487"/>
      <c r="F194" s="1483"/>
      <c r="G194" s="1487"/>
      <c r="H194" s="1483"/>
      <c r="I194" s="1489"/>
    </row>
    <row r="195" spans="2:10" ht="15.5" thickBot="1">
      <c r="B195" s="1720">
        <v>31</v>
      </c>
      <c r="C195" s="1452"/>
      <c r="D195" s="1497"/>
      <c r="E195" s="1498"/>
      <c r="F195" s="1497"/>
      <c r="G195" s="1498"/>
      <c r="H195" s="1497"/>
      <c r="I195" s="1499"/>
    </row>
    <row r="196" spans="2:10" ht="15.5" thickTop="1">
      <c r="B196" s="1475">
        <v>1</v>
      </c>
      <c r="C196" s="1404" t="s">
        <v>299</v>
      </c>
      <c r="D196" s="1478"/>
      <c r="E196" s="1722" t="e">
        <v>#N/A</v>
      </c>
      <c r="F196" s="1478"/>
      <c r="G196" s="1722" t="e">
        <v>#N/A</v>
      </c>
      <c r="H196" s="1478"/>
      <c r="I196" s="1727" t="e">
        <v>#N/A</v>
      </c>
    </row>
    <row r="197" spans="2:10">
      <c r="B197" s="1480">
        <v>2</v>
      </c>
      <c r="C197" s="1415"/>
      <c r="D197" s="1481"/>
      <c r="E197" s="1482"/>
      <c r="F197" s="1483"/>
      <c r="G197" s="1482"/>
      <c r="H197" s="1483"/>
      <c r="I197" s="1484"/>
    </row>
    <row r="198" spans="2:10">
      <c r="B198" s="1480">
        <v>3</v>
      </c>
      <c r="C198" s="1415"/>
      <c r="D198" s="1481"/>
      <c r="E198" s="1482"/>
      <c r="F198" s="1483"/>
      <c r="G198" s="1482"/>
      <c r="H198" s="1483"/>
      <c r="I198" s="1484"/>
    </row>
    <row r="199" spans="2:10">
      <c r="B199" s="1480">
        <v>4</v>
      </c>
      <c r="C199" s="1415"/>
      <c r="D199" s="1481"/>
      <c r="E199" s="1482"/>
      <c r="F199" s="1483"/>
      <c r="G199" s="1482"/>
      <c r="H199" s="1483"/>
      <c r="I199" s="1484"/>
    </row>
    <row r="200" spans="2:10" ht="15.5" thickBot="1">
      <c r="B200" s="1500">
        <v>5</v>
      </c>
      <c r="C200" s="1461"/>
      <c r="D200" s="1501"/>
      <c r="E200" s="1502"/>
      <c r="F200" s="1503"/>
      <c r="G200" s="1502"/>
      <c r="H200" s="1503"/>
      <c r="I200" s="1505"/>
      <c r="J200" s="1402"/>
    </row>
    <row r="202" spans="2:10" ht="15.5" thickBot="1">
      <c r="B202" s="1470">
        <f>B2</f>
        <v>2026</v>
      </c>
      <c r="C202" s="1470" t="s">
        <v>420</v>
      </c>
      <c r="D202" s="1470">
        <v>8</v>
      </c>
      <c r="E202" s="1470" t="s">
        <v>442</v>
      </c>
      <c r="F202" s="1470">
        <v>15</v>
      </c>
      <c r="G202" s="1470" t="s">
        <v>443</v>
      </c>
      <c r="H202" s="1470"/>
      <c r="I202" s="1470"/>
    </row>
    <row r="203" spans="2:10">
      <c r="B203" s="1898" t="s">
        <v>444</v>
      </c>
      <c r="C203" s="1898" t="s">
        <v>422</v>
      </c>
      <c r="D203" s="1897" t="s">
        <v>548</v>
      </c>
      <c r="E203" s="1896"/>
      <c r="F203" s="1894" t="s">
        <v>547</v>
      </c>
      <c r="G203" s="1896"/>
      <c r="H203" s="1894" t="s">
        <v>546</v>
      </c>
      <c r="I203" s="1895"/>
    </row>
    <row r="204" spans="2:10" ht="38" thickBot="1">
      <c r="B204" s="1899"/>
      <c r="C204" s="1899"/>
      <c r="D204" s="1472" t="s">
        <v>445</v>
      </c>
      <c r="E204" s="1473" t="s">
        <v>446</v>
      </c>
      <c r="F204" s="1472" t="s">
        <v>445</v>
      </c>
      <c r="G204" s="1473" t="s">
        <v>447</v>
      </c>
      <c r="H204" s="1472" t="s">
        <v>445</v>
      </c>
      <c r="I204" s="1474" t="s">
        <v>447</v>
      </c>
    </row>
    <row r="205" spans="2:10">
      <c r="B205" s="1475">
        <v>1</v>
      </c>
      <c r="C205" s="1404"/>
      <c r="D205" s="1794"/>
      <c r="E205" s="1477" t="s">
        <v>437</v>
      </c>
      <c r="F205" s="1793"/>
      <c r="G205" s="1477" t="s">
        <v>437</v>
      </c>
      <c r="H205" s="1793"/>
      <c r="I205" s="1479" t="s">
        <v>437</v>
      </c>
    </row>
    <row r="206" spans="2:10">
      <c r="B206" s="1480">
        <v>2</v>
      </c>
      <c r="C206" s="1415"/>
      <c r="D206" s="1795"/>
      <c r="E206" s="1482"/>
      <c r="F206" s="1797"/>
      <c r="G206" s="1482"/>
      <c r="H206" s="1797"/>
      <c r="I206" s="1484"/>
    </row>
    <row r="207" spans="2:10">
      <c r="B207" s="1480">
        <v>3</v>
      </c>
      <c r="C207" s="1415"/>
      <c r="D207" s="1795"/>
      <c r="E207" s="1482"/>
      <c r="F207" s="1797"/>
      <c r="G207" s="1482"/>
      <c r="H207" s="1797"/>
      <c r="I207" s="1484"/>
    </row>
    <row r="208" spans="2:10">
      <c r="B208" s="1480">
        <v>4</v>
      </c>
      <c r="C208" s="1415"/>
      <c r="D208" s="1795"/>
      <c r="E208" s="1482"/>
      <c r="F208" s="1797"/>
      <c r="G208" s="1482"/>
      <c r="H208" s="1797"/>
      <c r="I208" s="1484"/>
    </row>
    <row r="209" spans="2:9" ht="15.5" thickBot="1">
      <c r="B209" s="1485">
        <v>5</v>
      </c>
      <c r="C209" s="1430"/>
      <c r="D209" s="1796"/>
      <c r="E209" s="1487"/>
      <c r="F209" s="1798"/>
      <c r="G209" s="1487"/>
      <c r="H209" s="1798"/>
      <c r="I209" s="1489"/>
    </row>
    <row r="210" spans="2:9" ht="15.5" thickTop="1">
      <c r="B210" s="1490">
        <v>6</v>
      </c>
      <c r="C210" s="1440" t="s">
        <v>294</v>
      </c>
      <c r="D210" s="1493"/>
      <c r="E210" s="1723" t="e">
        <v>#N/A</v>
      </c>
      <c r="F210" s="1493"/>
      <c r="G210" s="1723" t="e">
        <v>#N/A</v>
      </c>
      <c r="H210" s="1493"/>
      <c r="I210" s="1728" t="e">
        <v>#N/A</v>
      </c>
    </row>
    <row r="211" spans="2:9">
      <c r="B211" s="1480">
        <v>7</v>
      </c>
      <c r="C211" s="1415"/>
      <c r="D211" s="1483"/>
      <c r="E211" s="1482"/>
      <c r="F211" s="1483"/>
      <c r="G211" s="1482"/>
      <c r="H211" s="1483"/>
      <c r="I211" s="1484"/>
    </row>
    <row r="212" spans="2:9">
      <c r="B212" s="1480">
        <v>8</v>
      </c>
      <c r="C212" s="1415"/>
      <c r="D212" s="1483"/>
      <c r="E212" s="1482"/>
      <c r="F212" s="1483"/>
      <c r="G212" s="1482"/>
      <c r="H212" s="1483"/>
      <c r="I212" s="1484"/>
    </row>
    <row r="213" spans="2:9">
      <c r="B213" s="1480">
        <v>9</v>
      </c>
      <c r="C213" s="1415"/>
      <c r="D213" s="1483"/>
      <c r="E213" s="1482"/>
      <c r="F213" s="1483"/>
      <c r="G213" s="1482"/>
      <c r="H213" s="1483"/>
      <c r="I213" s="1484"/>
    </row>
    <row r="214" spans="2:9" ht="15.5" thickBot="1">
      <c r="B214" s="1495">
        <v>10</v>
      </c>
      <c r="C214" s="1452"/>
      <c r="D214" s="1497"/>
      <c r="E214" s="1487"/>
      <c r="F214" s="1497"/>
      <c r="G214" s="1487"/>
      <c r="H214" s="1497"/>
      <c r="I214" s="1489"/>
    </row>
    <row r="215" spans="2:9" ht="15.5" thickTop="1">
      <c r="B215" s="1475">
        <v>11</v>
      </c>
      <c r="C215" s="1404"/>
      <c r="D215" s="1478"/>
      <c r="E215" s="1722" t="e">
        <v>#N/A</v>
      </c>
      <c r="F215" s="1478"/>
      <c r="G215" s="1722" t="e">
        <v>#N/A</v>
      </c>
      <c r="H215" s="1478"/>
      <c r="I215" s="1727" t="e">
        <v>#N/A</v>
      </c>
    </row>
    <row r="216" spans="2:9">
      <c r="B216" s="1480">
        <v>12</v>
      </c>
      <c r="C216" s="1415" t="s">
        <v>295</v>
      </c>
      <c r="D216" s="1483"/>
      <c r="E216" s="1482"/>
      <c r="F216" s="1483"/>
      <c r="G216" s="1482"/>
      <c r="H216" s="1483"/>
      <c r="I216" s="1484"/>
    </row>
    <row r="217" spans="2:9">
      <c r="B217" s="1480">
        <v>13</v>
      </c>
      <c r="C217" s="1415"/>
      <c r="D217" s="1483"/>
      <c r="E217" s="1482"/>
      <c r="F217" s="1483"/>
      <c r="G217" s="1482"/>
      <c r="H217" s="1483"/>
      <c r="I217" s="1484"/>
    </row>
    <row r="218" spans="2:9">
      <c r="B218" s="1480">
        <v>14</v>
      </c>
      <c r="C218" s="1415"/>
      <c r="D218" s="1483"/>
      <c r="E218" s="1482"/>
      <c r="F218" s="1483"/>
      <c r="G218" s="1482"/>
      <c r="H218" s="1483"/>
      <c r="I218" s="1484"/>
    </row>
    <row r="219" spans="2:9" ht="15.5" thickBot="1">
      <c r="B219" s="1485">
        <v>15</v>
      </c>
      <c r="C219" s="1430"/>
      <c r="D219" s="1488"/>
      <c r="E219" s="1487"/>
      <c r="F219" s="1488"/>
      <c r="G219" s="1487"/>
      <c r="H219" s="1488"/>
      <c r="I219" s="1489"/>
    </row>
    <row r="220" spans="2:9" ht="15.5" thickTop="1">
      <c r="B220" s="1490">
        <v>16</v>
      </c>
      <c r="C220" s="1440"/>
      <c r="D220" s="1493"/>
      <c r="E220" s="1722" t="e">
        <v>#N/A</v>
      </c>
      <c r="F220" s="1493"/>
      <c r="G220" s="1722" t="e">
        <v>#N/A</v>
      </c>
      <c r="H220" s="1493"/>
      <c r="I220" s="1727" t="e">
        <v>#N/A</v>
      </c>
    </row>
    <row r="221" spans="2:9">
      <c r="B221" s="1480">
        <v>17</v>
      </c>
      <c r="C221" s="1415"/>
      <c r="D221" s="1483"/>
      <c r="E221" s="1482"/>
      <c r="F221" s="1483"/>
      <c r="G221" s="1482"/>
      <c r="H221" s="1483"/>
      <c r="I221" s="1484"/>
    </row>
    <row r="222" spans="2:9">
      <c r="B222" s="1480">
        <v>18</v>
      </c>
      <c r="C222" s="1415" t="s">
        <v>296</v>
      </c>
      <c r="D222" s="1483"/>
      <c r="E222" s="1482"/>
      <c r="F222" s="1483"/>
      <c r="G222" s="1482"/>
      <c r="H222" s="1483"/>
      <c r="I222" s="1484"/>
    </row>
    <row r="223" spans="2:9">
      <c r="B223" s="1480">
        <v>19</v>
      </c>
      <c r="C223" s="1415"/>
      <c r="D223" s="1483"/>
      <c r="E223" s="1482"/>
      <c r="F223" s="1483"/>
      <c r="G223" s="1482"/>
      <c r="H223" s="1483"/>
      <c r="I223" s="1484"/>
    </row>
    <row r="224" spans="2:9" ht="15.5" thickBot="1">
      <c r="B224" s="1495">
        <v>20</v>
      </c>
      <c r="C224" s="1452"/>
      <c r="D224" s="1497"/>
      <c r="E224" s="1487"/>
      <c r="F224" s="1497"/>
      <c r="G224" s="1487"/>
      <c r="H224" s="1497"/>
      <c r="I224" s="1489"/>
    </row>
    <row r="225" spans="2:10" ht="15.5" thickTop="1">
      <c r="B225" s="1475">
        <v>21</v>
      </c>
      <c r="C225" s="1404" t="s">
        <v>297</v>
      </c>
      <c r="D225" s="1478"/>
      <c r="E225" s="1722" t="e">
        <v>#N/A</v>
      </c>
      <c r="F225" s="1478"/>
      <c r="G225" s="1722" t="e">
        <v>#N/A</v>
      </c>
      <c r="H225" s="1478"/>
      <c r="I225" s="1727" t="e">
        <v>#N/A</v>
      </c>
    </row>
    <row r="226" spans="2:10">
      <c r="B226" s="1480">
        <v>22</v>
      </c>
      <c r="C226" s="1415"/>
      <c r="D226" s="1483"/>
      <c r="E226" s="1482"/>
      <c r="F226" s="1483"/>
      <c r="G226" s="1482"/>
      <c r="H226" s="1483"/>
      <c r="I226" s="1484"/>
    </row>
    <row r="227" spans="2:10">
      <c r="B227" s="1480">
        <v>23</v>
      </c>
      <c r="C227" s="1415"/>
      <c r="D227" s="1483"/>
      <c r="E227" s="1482"/>
      <c r="F227" s="1483"/>
      <c r="G227" s="1482"/>
      <c r="H227" s="1483"/>
      <c r="I227" s="1484"/>
    </row>
    <row r="228" spans="2:10">
      <c r="B228" s="1480">
        <v>24</v>
      </c>
      <c r="C228" s="1415"/>
      <c r="D228" s="1483"/>
      <c r="E228" s="1482"/>
      <c r="F228" s="1483"/>
      <c r="G228" s="1482"/>
      <c r="H228" s="1483"/>
      <c r="I228" s="1484"/>
    </row>
    <row r="229" spans="2:10" ht="15.5" thickBot="1">
      <c r="B229" s="1485">
        <v>25</v>
      </c>
      <c r="C229" s="1430"/>
      <c r="D229" s="1488"/>
      <c r="E229" s="1487"/>
      <c r="F229" s="1488"/>
      <c r="G229" s="1487"/>
      <c r="H229" s="1488"/>
      <c r="I229" s="1489"/>
    </row>
    <row r="230" spans="2:10" ht="15.5" thickTop="1">
      <c r="B230" s="1490">
        <v>26</v>
      </c>
      <c r="C230" s="1440"/>
      <c r="D230" s="1493"/>
      <c r="E230" s="1723" t="e">
        <v>#N/A</v>
      </c>
      <c r="F230" s="1493"/>
      <c r="G230" s="1723" t="e">
        <v>#N/A</v>
      </c>
      <c r="H230" s="1493"/>
      <c r="I230" s="1728" t="e">
        <v>#N/A</v>
      </c>
    </row>
    <row r="231" spans="2:10">
      <c r="B231" s="1480">
        <v>27</v>
      </c>
      <c r="C231" s="1415" t="s">
        <v>298</v>
      </c>
      <c r="D231" s="1483"/>
      <c r="E231" s="1482"/>
      <c r="F231" s="1483"/>
      <c r="G231" s="1482"/>
      <c r="H231" s="1483"/>
      <c r="I231" s="1484"/>
    </row>
    <row r="232" spans="2:10">
      <c r="B232" s="1480">
        <v>28</v>
      </c>
      <c r="C232" s="1415"/>
      <c r="D232" s="1483"/>
      <c r="E232" s="1482"/>
      <c r="F232" s="1483"/>
      <c r="G232" s="1482"/>
      <c r="H232" s="1483"/>
      <c r="I232" s="1484"/>
    </row>
    <row r="233" spans="2:10">
      <c r="B233" s="1480">
        <v>29</v>
      </c>
      <c r="C233" s="1415"/>
      <c r="D233" s="1483"/>
      <c r="E233" s="1482"/>
      <c r="F233" s="1483"/>
      <c r="G233" s="1482"/>
      <c r="H233" s="1483"/>
      <c r="I233" s="1484"/>
    </row>
    <row r="234" spans="2:10">
      <c r="B234" s="1480">
        <v>30</v>
      </c>
      <c r="C234" s="1415"/>
      <c r="D234" s="1483"/>
      <c r="E234" s="1487"/>
      <c r="F234" s="1483"/>
      <c r="G234" s="1487"/>
      <c r="H234" s="1483"/>
      <c r="I234" s="1489"/>
    </row>
    <row r="235" spans="2:10" ht="15.5" thickBot="1">
      <c r="B235" s="1495">
        <v>31</v>
      </c>
      <c r="C235" s="1452"/>
      <c r="D235" s="1497"/>
      <c r="E235" s="1498"/>
      <c r="F235" s="1497"/>
      <c r="G235" s="1498"/>
      <c r="H235" s="1497"/>
      <c r="I235" s="1499"/>
    </row>
    <row r="236" spans="2:10" ht="15.5" thickTop="1">
      <c r="B236" s="1475">
        <v>1</v>
      </c>
      <c r="C236" s="1404" t="s">
        <v>299</v>
      </c>
      <c r="D236" s="1478"/>
      <c r="E236" s="1723" t="e">
        <v>#N/A</v>
      </c>
      <c r="F236" s="1478"/>
      <c r="G236" s="1723" t="e">
        <v>#N/A</v>
      </c>
      <c r="H236" s="1478"/>
      <c r="I236" s="1728" t="e">
        <v>#N/A</v>
      </c>
    </row>
    <row r="237" spans="2:10">
      <c r="B237" s="1480">
        <v>2</v>
      </c>
      <c r="C237" s="1415"/>
      <c r="D237" s="1481"/>
      <c r="E237" s="1482"/>
      <c r="F237" s="1483"/>
      <c r="G237" s="1482"/>
      <c r="H237" s="1483"/>
      <c r="I237" s="1484"/>
    </row>
    <row r="238" spans="2:10">
      <c r="B238" s="1480">
        <v>3</v>
      </c>
      <c r="C238" s="1415"/>
      <c r="D238" s="1481"/>
      <c r="E238" s="1482"/>
      <c r="F238" s="1483"/>
      <c r="G238" s="1482"/>
      <c r="H238" s="1483"/>
      <c r="I238" s="1484"/>
    </row>
    <row r="239" spans="2:10">
      <c r="B239" s="1480">
        <v>4</v>
      </c>
      <c r="C239" s="1415"/>
      <c r="D239" s="1481"/>
      <c r="E239" s="1482"/>
      <c r="F239" s="1483"/>
      <c r="G239" s="1482"/>
      <c r="H239" s="1483"/>
      <c r="I239" s="1484"/>
    </row>
    <row r="240" spans="2:10" ht="15.5" thickBot="1">
      <c r="B240" s="1500">
        <v>5</v>
      </c>
      <c r="C240" s="1461"/>
      <c r="D240" s="1501"/>
      <c r="E240" s="1502"/>
      <c r="F240" s="1503"/>
      <c r="G240" s="1502"/>
      <c r="H240" s="1503"/>
      <c r="I240" s="1505"/>
      <c r="J240" s="1402"/>
    </row>
    <row r="242" spans="2:9" ht="15.5" thickBot="1">
      <c r="B242" s="1470">
        <f>B2</f>
        <v>2026</v>
      </c>
      <c r="C242" s="1470" t="s">
        <v>420</v>
      </c>
      <c r="D242" s="1470">
        <v>9</v>
      </c>
      <c r="E242" s="1470" t="s">
        <v>442</v>
      </c>
      <c r="F242" s="1470">
        <v>15</v>
      </c>
      <c r="G242" s="1470" t="s">
        <v>443</v>
      </c>
      <c r="H242" s="1470"/>
      <c r="I242" s="1470"/>
    </row>
    <row r="243" spans="2:9">
      <c r="B243" s="1898" t="s">
        <v>444</v>
      </c>
      <c r="C243" s="1898" t="s">
        <v>422</v>
      </c>
      <c r="D243" s="1897" t="s">
        <v>548</v>
      </c>
      <c r="E243" s="1896"/>
      <c r="F243" s="1894" t="s">
        <v>547</v>
      </c>
      <c r="G243" s="1896"/>
      <c r="H243" s="1894" t="s">
        <v>546</v>
      </c>
      <c r="I243" s="1895"/>
    </row>
    <row r="244" spans="2:9" ht="38" thickBot="1">
      <c r="B244" s="1899"/>
      <c r="C244" s="1899"/>
      <c r="D244" s="1472" t="s">
        <v>445</v>
      </c>
      <c r="E244" s="1473" t="s">
        <v>446</v>
      </c>
      <c r="F244" s="1472" t="s">
        <v>445</v>
      </c>
      <c r="G244" s="1473" t="s">
        <v>447</v>
      </c>
      <c r="H244" s="1472" t="s">
        <v>445</v>
      </c>
      <c r="I244" s="1474" t="s">
        <v>447</v>
      </c>
    </row>
    <row r="245" spans="2:9">
      <c r="B245" s="1475">
        <v>1</v>
      </c>
      <c r="C245" s="1404"/>
      <c r="D245" s="1794"/>
      <c r="E245" s="1477" t="s">
        <v>437</v>
      </c>
      <c r="F245" s="1793"/>
      <c r="G245" s="1477" t="s">
        <v>437</v>
      </c>
      <c r="H245" s="1793"/>
      <c r="I245" s="1479" t="s">
        <v>437</v>
      </c>
    </row>
    <row r="246" spans="2:9">
      <c r="B246" s="1480">
        <v>2</v>
      </c>
      <c r="C246" s="1415"/>
      <c r="D246" s="1795"/>
      <c r="E246" s="1482"/>
      <c r="F246" s="1797"/>
      <c r="G246" s="1482"/>
      <c r="H246" s="1797"/>
      <c r="I246" s="1484"/>
    </row>
    <row r="247" spans="2:9">
      <c r="B247" s="1480">
        <v>3</v>
      </c>
      <c r="C247" s="1415"/>
      <c r="D247" s="1795"/>
      <c r="E247" s="1482"/>
      <c r="F247" s="1797"/>
      <c r="G247" s="1482"/>
      <c r="H247" s="1797"/>
      <c r="I247" s="1484"/>
    </row>
    <row r="248" spans="2:9">
      <c r="B248" s="1480">
        <v>4</v>
      </c>
      <c r="C248" s="1415"/>
      <c r="D248" s="1795"/>
      <c r="E248" s="1482"/>
      <c r="F248" s="1797"/>
      <c r="G248" s="1482"/>
      <c r="H248" s="1797"/>
      <c r="I248" s="1484"/>
    </row>
    <row r="249" spans="2:9" ht="15.5" thickBot="1">
      <c r="B249" s="1485">
        <v>5</v>
      </c>
      <c r="C249" s="1430"/>
      <c r="D249" s="1796"/>
      <c r="E249" s="1487"/>
      <c r="F249" s="1798"/>
      <c r="G249" s="1487"/>
      <c r="H249" s="1798"/>
      <c r="I249" s="1489"/>
    </row>
    <row r="250" spans="2:9" ht="15.5" thickTop="1">
      <c r="B250" s="1490">
        <v>6</v>
      </c>
      <c r="C250" s="1440"/>
      <c r="D250" s="1493"/>
      <c r="E250" s="1723" t="e">
        <v>#N/A</v>
      </c>
      <c r="F250" s="1493"/>
      <c r="G250" s="1723" t="e">
        <v>#N/A</v>
      </c>
      <c r="H250" s="1493"/>
      <c r="I250" s="1728" t="e">
        <v>#N/A</v>
      </c>
    </row>
    <row r="251" spans="2:9">
      <c r="B251" s="1480">
        <v>7</v>
      </c>
      <c r="C251" s="1415"/>
      <c r="D251" s="1483"/>
      <c r="E251" s="1482"/>
      <c r="F251" s="1483"/>
      <c r="G251" s="1482"/>
      <c r="H251" s="1483"/>
      <c r="I251" s="1484"/>
    </row>
    <row r="252" spans="2:9">
      <c r="B252" s="1480">
        <v>8</v>
      </c>
      <c r="C252" s="1415" t="s">
        <v>294</v>
      </c>
      <c r="D252" s="1483"/>
      <c r="E252" s="1482"/>
      <c r="F252" s="1483"/>
      <c r="G252" s="1482"/>
      <c r="H252" s="1483"/>
      <c r="I252" s="1484"/>
    </row>
    <row r="253" spans="2:9">
      <c r="B253" s="1480">
        <v>9</v>
      </c>
      <c r="C253" s="1415"/>
      <c r="D253" s="1483"/>
      <c r="E253" s="1482"/>
      <c r="F253" s="1483"/>
      <c r="G253" s="1482"/>
      <c r="H253" s="1483"/>
      <c r="I253" s="1484"/>
    </row>
    <row r="254" spans="2:9" ht="15.5" thickBot="1">
      <c r="B254" s="1495">
        <v>10</v>
      </c>
      <c r="C254" s="1452"/>
      <c r="D254" s="1497"/>
      <c r="E254" s="1487"/>
      <c r="F254" s="1497"/>
      <c r="G254" s="1487"/>
      <c r="H254" s="1497"/>
      <c r="I254" s="1489"/>
    </row>
    <row r="255" spans="2:9" ht="15.5" thickTop="1">
      <c r="B255" s="1475">
        <v>11</v>
      </c>
      <c r="C255" s="1404" t="s">
        <v>295</v>
      </c>
      <c r="D255" s="1478"/>
      <c r="E255" s="1722" t="e">
        <v>#N/A</v>
      </c>
      <c r="F255" s="1478"/>
      <c r="G255" s="1722" t="e">
        <v>#N/A</v>
      </c>
      <c r="H255" s="1478"/>
      <c r="I255" s="1727" t="e">
        <v>#N/A</v>
      </c>
    </row>
    <row r="256" spans="2:9">
      <c r="B256" s="1480">
        <v>12</v>
      </c>
      <c r="C256" s="1415"/>
      <c r="D256" s="1483"/>
      <c r="E256" s="1482"/>
      <c r="F256" s="1483"/>
      <c r="G256" s="1482"/>
      <c r="H256" s="1483"/>
      <c r="I256" s="1484"/>
    </row>
    <row r="257" spans="2:9">
      <c r="B257" s="1480">
        <v>13</v>
      </c>
      <c r="C257" s="1415"/>
      <c r="D257" s="1483"/>
      <c r="E257" s="1482"/>
      <c r="F257" s="1483"/>
      <c r="G257" s="1482"/>
      <c r="H257" s="1483"/>
      <c r="I257" s="1484"/>
    </row>
    <row r="258" spans="2:9">
      <c r="B258" s="1480">
        <v>14</v>
      </c>
      <c r="C258" s="1415"/>
      <c r="D258" s="1483"/>
      <c r="E258" s="1482"/>
      <c r="F258" s="1483"/>
      <c r="G258" s="1482"/>
      <c r="H258" s="1483"/>
      <c r="I258" s="1484"/>
    </row>
    <row r="259" spans="2:9" ht="15.5" thickBot="1">
      <c r="B259" s="1485">
        <v>15</v>
      </c>
      <c r="C259" s="1430"/>
      <c r="D259" s="1488"/>
      <c r="E259" s="1487"/>
      <c r="F259" s="1488"/>
      <c r="G259" s="1487"/>
      <c r="H259" s="1488"/>
      <c r="I259" s="1489"/>
    </row>
    <row r="260" spans="2:9" ht="15.5" thickTop="1">
      <c r="B260" s="1490">
        <v>16</v>
      </c>
      <c r="C260" s="1440"/>
      <c r="D260" s="1493"/>
      <c r="E260" s="1723" t="e">
        <v>#N/A</v>
      </c>
      <c r="F260" s="1493"/>
      <c r="G260" s="1723" t="e">
        <v>#N/A</v>
      </c>
      <c r="H260" s="1493"/>
      <c r="I260" s="1728" t="e">
        <v>#N/A</v>
      </c>
    </row>
    <row r="261" spans="2:9">
      <c r="B261" s="1480">
        <v>17</v>
      </c>
      <c r="C261" s="1415" t="s">
        <v>296</v>
      </c>
      <c r="D261" s="1483"/>
      <c r="E261" s="1482"/>
      <c r="F261" s="1483"/>
      <c r="G261" s="1482"/>
      <c r="H261" s="1483"/>
      <c r="I261" s="1484"/>
    </row>
    <row r="262" spans="2:9">
      <c r="B262" s="1480">
        <v>18</v>
      </c>
      <c r="C262" s="1415"/>
      <c r="D262" s="1483"/>
      <c r="E262" s="1482"/>
      <c r="F262" s="1483"/>
      <c r="G262" s="1482"/>
      <c r="H262" s="1483"/>
      <c r="I262" s="1484"/>
    </row>
    <row r="263" spans="2:9">
      <c r="B263" s="1480">
        <v>19</v>
      </c>
      <c r="C263" s="1415"/>
      <c r="D263" s="1483"/>
      <c r="E263" s="1482"/>
      <c r="F263" s="1483"/>
      <c r="G263" s="1482"/>
      <c r="H263" s="1483"/>
      <c r="I263" s="1484"/>
    </row>
    <row r="264" spans="2:9" ht="15.5" thickBot="1">
      <c r="B264" s="1495">
        <v>20</v>
      </c>
      <c r="C264" s="1452"/>
      <c r="D264" s="1497"/>
      <c r="E264" s="1487"/>
      <c r="F264" s="1497"/>
      <c r="G264" s="1487"/>
      <c r="H264" s="1497"/>
      <c r="I264" s="1489"/>
    </row>
    <row r="265" spans="2:9" ht="15.5" thickTop="1">
      <c r="B265" s="1475">
        <v>21</v>
      </c>
      <c r="C265" s="1404"/>
      <c r="D265" s="1478"/>
      <c r="E265" s="1722" t="e">
        <v>#N/A</v>
      </c>
      <c r="F265" s="1478"/>
      <c r="G265" s="1722" t="e">
        <v>#N/A</v>
      </c>
      <c r="H265" s="1478"/>
      <c r="I265" s="1727" t="e">
        <v>#N/A</v>
      </c>
    </row>
    <row r="266" spans="2:9">
      <c r="B266" s="1480">
        <v>22</v>
      </c>
      <c r="C266" s="1415" t="s">
        <v>297</v>
      </c>
      <c r="D266" s="1483"/>
      <c r="E266" s="1482"/>
      <c r="F266" s="1483"/>
      <c r="G266" s="1482"/>
      <c r="H266" s="1483"/>
      <c r="I266" s="1484"/>
    </row>
    <row r="267" spans="2:9">
      <c r="B267" s="1480">
        <v>23</v>
      </c>
      <c r="C267" s="1415"/>
      <c r="D267" s="1483"/>
      <c r="E267" s="1482"/>
      <c r="F267" s="1483"/>
      <c r="G267" s="1482"/>
      <c r="H267" s="1483"/>
      <c r="I267" s="1484"/>
    </row>
    <row r="268" spans="2:9">
      <c r="B268" s="1480">
        <v>24</v>
      </c>
      <c r="C268" s="1415"/>
      <c r="D268" s="1483"/>
      <c r="E268" s="1482"/>
      <c r="F268" s="1483"/>
      <c r="G268" s="1482"/>
      <c r="H268" s="1483"/>
      <c r="I268" s="1484"/>
    </row>
    <row r="269" spans="2:9" ht="15.5" thickBot="1">
      <c r="B269" s="1485">
        <v>25</v>
      </c>
      <c r="C269" s="1430"/>
      <c r="D269" s="1488"/>
      <c r="E269" s="1487"/>
      <c r="F269" s="1488"/>
      <c r="G269" s="1487"/>
      <c r="H269" s="1488"/>
      <c r="I269" s="1489"/>
    </row>
    <row r="270" spans="2:9" ht="15.5" thickTop="1">
      <c r="B270" s="1490">
        <v>26</v>
      </c>
      <c r="C270" s="1440" t="s">
        <v>298</v>
      </c>
      <c r="D270" s="1493"/>
      <c r="E270" s="1492" t="e">
        <v>#N/A</v>
      </c>
      <c r="F270" s="1493"/>
      <c r="G270" s="1492" t="e">
        <v>#N/A</v>
      </c>
      <c r="H270" s="1493"/>
      <c r="I270" s="1494" t="e">
        <v>#N/A</v>
      </c>
    </row>
    <row r="271" spans="2:9">
      <c r="B271" s="1480">
        <v>27</v>
      </c>
      <c r="C271" s="1415"/>
      <c r="D271" s="1483"/>
      <c r="E271" s="1482"/>
      <c r="F271" s="1483"/>
      <c r="G271" s="1482"/>
      <c r="H271" s="1483"/>
      <c r="I271" s="1484"/>
    </row>
    <row r="272" spans="2:9">
      <c r="B272" s="1480">
        <v>28</v>
      </c>
      <c r="C272" s="1415"/>
      <c r="D272" s="1483"/>
      <c r="E272" s="1482"/>
      <c r="F272" s="1483"/>
      <c r="G272" s="1482"/>
      <c r="H272" s="1483"/>
      <c r="I272" s="1484"/>
    </row>
    <row r="273" spans="2:10">
      <c r="B273" s="1480">
        <v>29</v>
      </c>
      <c r="C273" s="1415"/>
      <c r="D273" s="1483"/>
      <c r="E273" s="1482"/>
      <c r="F273" s="1483"/>
      <c r="G273" s="1482"/>
      <c r="H273" s="1483"/>
      <c r="I273" s="1484"/>
    </row>
    <row r="274" spans="2:10">
      <c r="B274" s="1480">
        <v>30</v>
      </c>
      <c r="C274" s="1415"/>
      <c r="D274" s="1483"/>
      <c r="E274" s="1487"/>
      <c r="F274" s="1483"/>
      <c r="G274" s="1487"/>
      <c r="H274" s="1483"/>
      <c r="I274" s="1489"/>
    </row>
    <row r="275" spans="2:10" ht="15.5" thickBot="1">
      <c r="B275" s="1495"/>
      <c r="C275" s="1452"/>
      <c r="D275" s="1497"/>
      <c r="E275" s="1498"/>
      <c r="F275" s="1497"/>
      <c r="G275" s="1498"/>
      <c r="H275" s="1497"/>
      <c r="I275" s="1499"/>
    </row>
    <row r="276" spans="2:10" ht="15.5" thickTop="1">
      <c r="B276" s="1475">
        <v>1</v>
      </c>
      <c r="C276" s="1404"/>
      <c r="D276" s="1478"/>
      <c r="E276" s="1723" t="e">
        <v>#N/A</v>
      </c>
      <c r="F276" s="1478"/>
      <c r="G276" s="1723" t="e">
        <v>#N/A</v>
      </c>
      <c r="H276" s="1478"/>
      <c r="I276" s="1728" t="e">
        <v>#N/A</v>
      </c>
    </row>
    <row r="277" spans="2:10">
      <c r="B277" s="1480">
        <v>2</v>
      </c>
      <c r="C277" s="1415" t="s">
        <v>299</v>
      </c>
      <c r="D277" s="1481"/>
      <c r="E277" s="1482"/>
      <c r="F277" s="1483"/>
      <c r="G277" s="1482"/>
      <c r="H277" s="1483"/>
      <c r="I277" s="1484"/>
    </row>
    <row r="278" spans="2:10">
      <c r="B278" s="1480">
        <v>3</v>
      </c>
      <c r="C278" s="1415"/>
      <c r="D278" s="1483"/>
      <c r="E278" s="1482"/>
      <c r="F278" s="1483"/>
      <c r="G278" s="1482"/>
      <c r="H278" s="1483"/>
      <c r="I278" s="1484"/>
    </row>
    <row r="279" spans="2:10">
      <c r="B279" s="1480">
        <v>4</v>
      </c>
      <c r="C279" s="1415"/>
      <c r="D279" s="1483"/>
      <c r="E279" s="1482"/>
      <c r="F279" s="1483"/>
      <c r="G279" s="1482"/>
      <c r="H279" s="1483"/>
      <c r="I279" s="1484"/>
    </row>
    <row r="280" spans="2:10" ht="15.5" thickBot="1">
      <c r="B280" s="1500">
        <v>5</v>
      </c>
      <c r="C280" s="1461"/>
      <c r="D280" s="1501"/>
      <c r="E280" s="1502"/>
      <c r="F280" s="1503"/>
      <c r="G280" s="1502"/>
      <c r="H280" s="1503"/>
      <c r="I280" s="1505"/>
      <c r="J280" s="1402"/>
    </row>
    <row r="282" spans="2:10" ht="15.5" thickBot="1">
      <c r="B282" s="1470">
        <f>B2</f>
        <v>2026</v>
      </c>
      <c r="C282" s="1470" t="s">
        <v>420</v>
      </c>
      <c r="D282" s="1470">
        <v>10</v>
      </c>
      <c r="E282" s="1470" t="s">
        <v>442</v>
      </c>
      <c r="F282" s="1470">
        <v>15</v>
      </c>
      <c r="G282" s="1470" t="s">
        <v>443</v>
      </c>
      <c r="H282" s="1470"/>
      <c r="I282" s="1470"/>
    </row>
    <row r="283" spans="2:10">
      <c r="B283" s="1898" t="s">
        <v>444</v>
      </c>
      <c r="C283" s="1898" t="s">
        <v>422</v>
      </c>
      <c r="D283" s="1897" t="s">
        <v>548</v>
      </c>
      <c r="E283" s="1896"/>
      <c r="F283" s="1894" t="s">
        <v>547</v>
      </c>
      <c r="G283" s="1896"/>
      <c r="H283" s="1894" t="s">
        <v>546</v>
      </c>
      <c r="I283" s="1895"/>
    </row>
    <row r="284" spans="2:10" ht="38" thickBot="1">
      <c r="B284" s="1899"/>
      <c r="C284" s="1899"/>
      <c r="D284" s="1472" t="s">
        <v>445</v>
      </c>
      <c r="E284" s="1473" t="s">
        <v>446</v>
      </c>
      <c r="F284" s="1472" t="s">
        <v>445</v>
      </c>
      <c r="G284" s="1473" t="s">
        <v>447</v>
      </c>
      <c r="H284" s="1472" t="s">
        <v>445</v>
      </c>
      <c r="I284" s="1474" t="s">
        <v>447</v>
      </c>
    </row>
    <row r="285" spans="2:10">
      <c r="B285" s="1475">
        <v>1</v>
      </c>
      <c r="C285" s="1404"/>
      <c r="D285" s="1794"/>
      <c r="E285" s="1477" t="s">
        <v>437</v>
      </c>
      <c r="F285" s="1793"/>
      <c r="G285" s="1477" t="s">
        <v>437</v>
      </c>
      <c r="H285" s="1793"/>
      <c r="I285" s="1479" t="s">
        <v>437</v>
      </c>
    </row>
    <row r="286" spans="2:10">
      <c r="B286" s="1480">
        <v>2</v>
      </c>
      <c r="C286" s="1415"/>
      <c r="D286" s="1795"/>
      <c r="E286" s="1482"/>
      <c r="F286" s="1797"/>
      <c r="G286" s="1482"/>
      <c r="H286" s="1797"/>
      <c r="I286" s="1484"/>
    </row>
    <row r="287" spans="2:10">
      <c r="B287" s="1480">
        <v>3</v>
      </c>
      <c r="C287" s="1415"/>
      <c r="D287" s="1795"/>
      <c r="E287" s="1482"/>
      <c r="F287" s="1797"/>
      <c r="G287" s="1482"/>
      <c r="H287" s="1797"/>
      <c r="I287" s="1484"/>
    </row>
    <row r="288" spans="2:10">
      <c r="B288" s="1480">
        <v>4</v>
      </c>
      <c r="C288" s="1415"/>
      <c r="D288" s="1795"/>
      <c r="E288" s="1482"/>
      <c r="F288" s="1797"/>
      <c r="G288" s="1482"/>
      <c r="H288" s="1797"/>
      <c r="I288" s="1484"/>
    </row>
    <row r="289" spans="2:9" ht="15.5" thickBot="1">
      <c r="B289" s="1485">
        <v>5</v>
      </c>
      <c r="C289" s="1430"/>
      <c r="D289" s="1796"/>
      <c r="E289" s="1487"/>
      <c r="F289" s="1798"/>
      <c r="G289" s="1487"/>
      <c r="H289" s="1798"/>
      <c r="I289" s="1489"/>
    </row>
    <row r="290" spans="2:9" ht="15.5" thickTop="1">
      <c r="B290" s="1490">
        <v>6</v>
      </c>
      <c r="C290" s="1440" t="s">
        <v>294</v>
      </c>
      <c r="D290" s="1491"/>
      <c r="E290" s="1722" t="e">
        <v>#N/A</v>
      </c>
      <c r="F290" s="1493"/>
      <c r="G290" s="1733" t="e">
        <v>#N/A</v>
      </c>
      <c r="H290" s="1493"/>
      <c r="I290" s="1727" t="e">
        <v>#N/A</v>
      </c>
    </row>
    <row r="291" spans="2:9">
      <c r="B291" s="1480">
        <v>7</v>
      </c>
      <c r="C291" s="1415"/>
      <c r="D291" s="1481"/>
      <c r="E291" s="1482"/>
      <c r="F291" s="1483"/>
      <c r="G291" s="1482"/>
      <c r="H291" s="1483"/>
      <c r="I291" s="1484"/>
    </row>
    <row r="292" spans="2:9">
      <c r="B292" s="1480">
        <v>8</v>
      </c>
      <c r="C292" s="1415"/>
      <c r="D292" s="1481"/>
      <c r="E292" s="1482"/>
      <c r="F292" s="1483"/>
      <c r="G292" s="1482"/>
      <c r="H292" s="1483"/>
      <c r="I292" s="1484"/>
    </row>
    <row r="293" spans="2:9">
      <c r="B293" s="1480">
        <v>9</v>
      </c>
      <c r="C293" s="1415"/>
      <c r="D293" s="1481"/>
      <c r="E293" s="1482"/>
      <c r="F293" s="1483"/>
      <c r="G293" s="1482"/>
      <c r="H293" s="1483"/>
      <c r="I293" s="1484"/>
    </row>
    <row r="294" spans="2:9" ht="15.5" thickBot="1">
      <c r="B294" s="1495">
        <v>10</v>
      </c>
      <c r="C294" s="1452"/>
      <c r="D294" s="1496"/>
      <c r="E294" s="1487"/>
      <c r="F294" s="1497"/>
      <c r="G294" s="1487"/>
      <c r="H294" s="1497"/>
      <c r="I294" s="1489"/>
    </row>
    <row r="295" spans="2:9" ht="15.5" thickTop="1">
      <c r="B295" s="1475">
        <v>11</v>
      </c>
      <c r="C295" s="1404"/>
      <c r="D295" s="1476"/>
      <c r="E295" s="1723" t="e">
        <v>#N/A</v>
      </c>
      <c r="F295" s="1478"/>
      <c r="G295" s="1734" t="e">
        <v>#N/A</v>
      </c>
      <c r="H295" s="1478"/>
      <c r="I295" s="1737" t="e">
        <v>#N/A</v>
      </c>
    </row>
    <row r="296" spans="2:9">
      <c r="B296" s="1480">
        <v>12</v>
      </c>
      <c r="C296" s="1415"/>
      <c r="D296" s="1481"/>
      <c r="E296" s="1482"/>
      <c r="F296" s="1483"/>
      <c r="G296" s="1482"/>
      <c r="H296" s="1483"/>
      <c r="I296" s="1484"/>
    </row>
    <row r="297" spans="2:9">
      <c r="B297" s="1480">
        <v>13</v>
      </c>
      <c r="C297" s="1415" t="s">
        <v>295</v>
      </c>
      <c r="D297" s="1481"/>
      <c r="E297" s="1482"/>
      <c r="F297" s="1483"/>
      <c r="G297" s="1482"/>
      <c r="H297" s="1483"/>
      <c r="I297" s="1484"/>
    </row>
    <row r="298" spans="2:9">
      <c r="B298" s="1480">
        <v>14</v>
      </c>
      <c r="C298" s="1415"/>
      <c r="D298" s="1481"/>
      <c r="E298" s="1482"/>
      <c r="F298" s="1483"/>
      <c r="G298" s="1482"/>
      <c r="H298" s="1483"/>
      <c r="I298" s="1484"/>
    </row>
    <row r="299" spans="2:9" ht="15.5" thickBot="1">
      <c r="B299" s="1485">
        <v>15</v>
      </c>
      <c r="C299" s="1430"/>
      <c r="D299" s="1486"/>
      <c r="E299" s="1487"/>
      <c r="F299" s="1488"/>
      <c r="G299" s="1487"/>
      <c r="H299" s="1488"/>
      <c r="I299" s="1489"/>
    </row>
    <row r="300" spans="2:9" ht="15.5" thickTop="1">
      <c r="B300" s="1490">
        <v>16</v>
      </c>
      <c r="C300" s="1440"/>
      <c r="D300" s="1491"/>
      <c r="E300" s="1733" t="e">
        <v>#N/A</v>
      </c>
      <c r="F300" s="1493"/>
      <c r="G300" s="1733" t="e">
        <v>#N/A</v>
      </c>
      <c r="H300" s="1493"/>
      <c r="I300" s="1736" t="e">
        <v>#N/A</v>
      </c>
    </row>
    <row r="301" spans="2:9">
      <c r="B301" s="1480">
        <v>17</v>
      </c>
      <c r="C301" s="1415" t="s">
        <v>296</v>
      </c>
      <c r="D301" s="1481"/>
      <c r="E301" s="1482"/>
      <c r="F301" s="1483"/>
      <c r="G301" s="1482"/>
      <c r="H301" s="1483"/>
      <c r="I301" s="1484"/>
    </row>
    <row r="302" spans="2:9">
      <c r="B302" s="1480">
        <v>18</v>
      </c>
      <c r="C302" s="1415"/>
      <c r="D302" s="1481"/>
      <c r="E302" s="1482"/>
      <c r="F302" s="1483"/>
      <c r="G302" s="1482"/>
      <c r="H302" s="1483"/>
      <c r="I302" s="1484"/>
    </row>
    <row r="303" spans="2:9">
      <c r="B303" s="1480">
        <v>19</v>
      </c>
      <c r="C303" s="1415"/>
      <c r="D303" s="1481"/>
      <c r="E303" s="1482"/>
      <c r="F303" s="1483"/>
      <c r="G303" s="1482"/>
      <c r="H303" s="1483"/>
      <c r="I303" s="1484"/>
    </row>
    <row r="304" spans="2:9" ht="15.5" thickBot="1">
      <c r="B304" s="1495">
        <v>20</v>
      </c>
      <c r="C304" s="1452"/>
      <c r="D304" s="1496"/>
      <c r="E304" s="1487"/>
      <c r="F304" s="1497"/>
      <c r="G304" s="1487"/>
      <c r="H304" s="1497"/>
      <c r="I304" s="1489"/>
    </row>
    <row r="305" spans="2:10" ht="15.5" thickTop="1">
      <c r="B305" s="1475">
        <v>21</v>
      </c>
      <c r="C305" s="1404"/>
      <c r="D305" s="1476"/>
      <c r="E305" s="1733" t="e">
        <v>#N/A</v>
      </c>
      <c r="F305" s="1478"/>
      <c r="G305" s="1733" t="e">
        <v>#N/A</v>
      </c>
      <c r="H305" s="1478"/>
      <c r="I305" s="1736" t="e">
        <v>#N/A</v>
      </c>
    </row>
    <row r="306" spans="2:10">
      <c r="B306" s="1480">
        <v>22</v>
      </c>
      <c r="C306" s="1415"/>
      <c r="D306" s="1481"/>
      <c r="E306" s="1482"/>
      <c r="F306" s="1483"/>
      <c r="G306" s="1482"/>
      <c r="H306" s="1483"/>
      <c r="I306" s="1484"/>
    </row>
    <row r="307" spans="2:10">
      <c r="B307" s="1480">
        <v>23</v>
      </c>
      <c r="C307" s="1415" t="s">
        <v>297</v>
      </c>
      <c r="D307" s="1481"/>
      <c r="E307" s="1482"/>
      <c r="F307" s="1483"/>
      <c r="G307" s="1482"/>
      <c r="H307" s="1483"/>
      <c r="I307" s="1484"/>
    </row>
    <row r="308" spans="2:10">
      <c r="B308" s="1480">
        <v>24</v>
      </c>
      <c r="C308" s="1415"/>
      <c r="D308" s="1481"/>
      <c r="E308" s="1482"/>
      <c r="F308" s="1483"/>
      <c r="G308" s="1482"/>
      <c r="H308" s="1483"/>
      <c r="I308" s="1484"/>
    </row>
    <row r="309" spans="2:10" ht="15.5" thickBot="1">
      <c r="B309" s="1485">
        <v>25</v>
      </c>
      <c r="C309" s="1430"/>
      <c r="D309" s="1486"/>
      <c r="E309" s="1487"/>
      <c r="F309" s="1488"/>
      <c r="G309" s="1735"/>
      <c r="H309" s="1488"/>
      <c r="I309" s="1489"/>
    </row>
    <row r="310" spans="2:10" ht="15.5" thickTop="1">
      <c r="B310" s="1490">
        <v>26</v>
      </c>
      <c r="C310" s="1440"/>
      <c r="D310" s="1491"/>
      <c r="E310" s="1733" t="e">
        <v>#N/A</v>
      </c>
      <c r="F310" s="1493"/>
      <c r="G310" s="1733" t="e">
        <v>#N/A</v>
      </c>
      <c r="H310" s="1493"/>
      <c r="I310" s="1736" t="e">
        <v>#N/A</v>
      </c>
    </row>
    <row r="311" spans="2:10">
      <c r="B311" s="1480">
        <v>27</v>
      </c>
      <c r="C311" s="1415" t="s">
        <v>298</v>
      </c>
      <c r="D311" s="1481"/>
      <c r="E311" s="1482"/>
      <c r="F311" s="1483"/>
      <c r="G311" s="1482"/>
      <c r="H311" s="1483"/>
      <c r="I311" s="1484"/>
    </row>
    <row r="312" spans="2:10">
      <c r="B312" s="1480">
        <v>28</v>
      </c>
      <c r="C312" s="1415"/>
      <c r="D312" s="1481"/>
      <c r="E312" s="1482"/>
      <c r="F312" s="1483"/>
      <c r="G312" s="1482"/>
      <c r="H312" s="1483"/>
      <c r="I312" s="1484"/>
    </row>
    <row r="313" spans="2:10">
      <c r="B313" s="1480">
        <v>29</v>
      </c>
      <c r="C313" s="1415"/>
      <c r="D313" s="1481"/>
      <c r="E313" s="1482"/>
      <c r="F313" s="1483"/>
      <c r="G313" s="1482"/>
      <c r="H313" s="1483"/>
      <c r="I313" s="1484"/>
    </row>
    <row r="314" spans="2:10">
      <c r="B314" s="1480">
        <v>30</v>
      </c>
      <c r="C314" s="1415"/>
      <c r="D314" s="1481"/>
      <c r="E314" s="1487"/>
      <c r="F314" s="1483"/>
      <c r="G314" s="1487"/>
      <c r="H314" s="1483"/>
      <c r="I314" s="1489"/>
    </row>
    <row r="315" spans="2:10" ht="15.5" thickBot="1">
      <c r="B315" s="1495">
        <v>31</v>
      </c>
      <c r="C315" s="1452"/>
      <c r="D315" s="1496"/>
      <c r="E315" s="1498"/>
      <c r="F315" s="1497"/>
      <c r="G315" s="1498"/>
      <c r="H315" s="1497"/>
      <c r="I315" s="1499"/>
    </row>
    <row r="316" spans="2:10" ht="15.5" thickTop="1">
      <c r="B316" s="1475">
        <v>1</v>
      </c>
      <c r="C316" s="1404"/>
      <c r="D316" s="1476"/>
      <c r="E316" s="1733" t="e">
        <v>#N/A</v>
      </c>
      <c r="F316" s="1478"/>
      <c r="G316" s="1733" t="e">
        <v>#N/A</v>
      </c>
      <c r="H316" s="1478"/>
      <c r="I316" s="1736" t="e">
        <v>#N/A</v>
      </c>
    </row>
    <row r="317" spans="2:10">
      <c r="B317" s="1480">
        <v>2</v>
      </c>
      <c r="C317" s="1415"/>
      <c r="D317" s="1481"/>
      <c r="E317" s="1482"/>
      <c r="F317" s="1483"/>
      <c r="G317" s="1482"/>
      <c r="H317" s="1483"/>
      <c r="I317" s="1484"/>
    </row>
    <row r="318" spans="2:10">
      <c r="B318" s="1480">
        <v>3</v>
      </c>
      <c r="C318" s="1415"/>
      <c r="D318" s="1481"/>
      <c r="E318" s="1482"/>
      <c r="F318" s="1483"/>
      <c r="G318" s="1482"/>
      <c r="H318" s="1483"/>
      <c r="I318" s="1484"/>
    </row>
    <row r="319" spans="2:10">
      <c r="B319" s="1480">
        <v>4</v>
      </c>
      <c r="C319" s="1415" t="s">
        <v>299</v>
      </c>
      <c r="D319" s="1481"/>
      <c r="E319" s="1482"/>
      <c r="F319" s="1483"/>
      <c r="G319" s="1482"/>
      <c r="H319" s="1483"/>
      <c r="I319" s="1484"/>
    </row>
    <row r="320" spans="2:10" ht="15.5" thickBot="1">
      <c r="B320" s="1500">
        <v>5</v>
      </c>
      <c r="C320" s="1461"/>
      <c r="D320" s="1501"/>
      <c r="E320" s="1502"/>
      <c r="F320" s="1503"/>
      <c r="G320" s="1502"/>
      <c r="H320" s="1503"/>
      <c r="I320" s="1505"/>
      <c r="J320" s="1402"/>
    </row>
    <row r="322" spans="2:9" ht="15.5" thickBot="1">
      <c r="B322" s="1470">
        <f>B2</f>
        <v>2026</v>
      </c>
      <c r="C322" s="1470" t="s">
        <v>420</v>
      </c>
      <c r="D322" s="1470">
        <v>11</v>
      </c>
      <c r="E322" s="1470" t="s">
        <v>442</v>
      </c>
      <c r="F322" s="1470">
        <v>15</v>
      </c>
      <c r="G322" s="1470" t="s">
        <v>443</v>
      </c>
      <c r="H322" s="1470"/>
      <c r="I322" s="1470"/>
    </row>
    <row r="323" spans="2:9">
      <c r="B323" s="1898" t="s">
        <v>444</v>
      </c>
      <c r="C323" s="1898" t="s">
        <v>422</v>
      </c>
      <c r="D323" s="1897" t="s">
        <v>548</v>
      </c>
      <c r="E323" s="1896"/>
      <c r="F323" s="1894" t="s">
        <v>547</v>
      </c>
      <c r="G323" s="1896"/>
      <c r="H323" s="1894" t="s">
        <v>546</v>
      </c>
      <c r="I323" s="1895"/>
    </row>
    <row r="324" spans="2:9" ht="38" thickBot="1">
      <c r="B324" s="1899"/>
      <c r="C324" s="1899"/>
      <c r="D324" s="1472" t="s">
        <v>445</v>
      </c>
      <c r="E324" s="1473" t="s">
        <v>446</v>
      </c>
      <c r="F324" s="1472" t="s">
        <v>445</v>
      </c>
      <c r="G324" s="1473" t="s">
        <v>447</v>
      </c>
      <c r="H324" s="1472" t="s">
        <v>445</v>
      </c>
      <c r="I324" s="1474" t="s">
        <v>447</v>
      </c>
    </row>
    <row r="325" spans="2:9">
      <c r="B325" s="1475">
        <v>1</v>
      </c>
      <c r="C325" s="1404"/>
      <c r="D325" s="1794"/>
      <c r="E325" s="1477" t="s">
        <v>437</v>
      </c>
      <c r="F325" s="1793"/>
      <c r="G325" s="1477" t="s">
        <v>437</v>
      </c>
      <c r="H325" s="1793"/>
      <c r="I325" s="1479" t="s">
        <v>437</v>
      </c>
    </row>
    <row r="326" spans="2:9">
      <c r="B326" s="1480">
        <v>2</v>
      </c>
      <c r="C326" s="1415"/>
      <c r="D326" s="1795"/>
      <c r="E326" s="1482"/>
      <c r="F326" s="1797"/>
      <c r="G326" s="1482"/>
      <c r="H326" s="1797"/>
      <c r="I326" s="1484"/>
    </row>
    <row r="327" spans="2:9">
      <c r="B327" s="1480">
        <v>3</v>
      </c>
      <c r="C327" s="1415"/>
      <c r="D327" s="1795"/>
      <c r="E327" s="1482"/>
      <c r="F327" s="1797"/>
      <c r="G327" s="1482"/>
      <c r="H327" s="1797"/>
      <c r="I327" s="1484"/>
    </row>
    <row r="328" spans="2:9">
      <c r="B328" s="1480">
        <v>4</v>
      </c>
      <c r="C328" s="1415"/>
      <c r="D328" s="1795"/>
      <c r="E328" s="1482"/>
      <c r="F328" s="1797"/>
      <c r="G328" s="1482"/>
      <c r="H328" s="1797"/>
      <c r="I328" s="1484"/>
    </row>
    <row r="329" spans="2:9" ht="15.5" thickBot="1">
      <c r="B329" s="1485">
        <v>5</v>
      </c>
      <c r="C329" s="1430"/>
      <c r="D329" s="1796"/>
      <c r="E329" s="1487"/>
      <c r="F329" s="1798"/>
      <c r="G329" s="1487"/>
      <c r="H329" s="1798"/>
      <c r="I329" s="1489"/>
    </row>
    <row r="330" spans="2:9" ht="15.5" thickTop="1">
      <c r="B330" s="1490">
        <v>6</v>
      </c>
      <c r="C330" s="1440" t="s">
        <v>294</v>
      </c>
      <c r="D330" s="1493"/>
      <c r="E330" s="1733" t="e">
        <v>#N/A</v>
      </c>
      <c r="F330" s="1493"/>
      <c r="G330" s="1733" t="e">
        <v>#N/A</v>
      </c>
      <c r="H330" s="1493"/>
      <c r="I330" s="1736" t="e">
        <v>#N/A</v>
      </c>
    </row>
    <row r="331" spans="2:9">
      <c r="B331" s="1480">
        <v>7</v>
      </c>
      <c r="C331" s="1415"/>
      <c r="D331" s="1483"/>
      <c r="E331" s="1482"/>
      <c r="F331" s="1483"/>
      <c r="G331" s="1482"/>
      <c r="H331" s="1483"/>
      <c r="I331" s="1484"/>
    </row>
    <row r="332" spans="2:9">
      <c r="B332" s="1480">
        <v>8</v>
      </c>
      <c r="C332" s="1415"/>
      <c r="D332" s="1483"/>
      <c r="E332" s="1482"/>
      <c r="F332" s="1483"/>
      <c r="G332" s="1482"/>
      <c r="H332" s="1483"/>
      <c r="I332" s="1484"/>
    </row>
    <row r="333" spans="2:9">
      <c r="B333" s="1480">
        <v>9</v>
      </c>
      <c r="C333" s="1415"/>
      <c r="D333" s="1483"/>
      <c r="E333" s="1482"/>
      <c r="F333" s="1483"/>
      <c r="G333" s="1482"/>
      <c r="H333" s="1483"/>
      <c r="I333" s="1484"/>
    </row>
    <row r="334" spans="2:9" ht="15.5" thickBot="1">
      <c r="B334" s="1495">
        <v>10</v>
      </c>
      <c r="C334" s="1452"/>
      <c r="D334" s="1497"/>
      <c r="E334" s="1487"/>
      <c r="F334" s="1497"/>
      <c r="G334" s="1487"/>
      <c r="H334" s="1497"/>
      <c r="I334" s="1489"/>
    </row>
    <row r="335" spans="2:9" ht="15.5" thickTop="1">
      <c r="B335" s="1475">
        <v>11</v>
      </c>
      <c r="C335" s="1404" t="s">
        <v>295</v>
      </c>
      <c r="D335" s="1478"/>
      <c r="E335" s="1722" t="e">
        <v>#N/A</v>
      </c>
      <c r="F335" s="1478"/>
      <c r="G335" s="1722" t="e">
        <v>#N/A</v>
      </c>
      <c r="H335" s="1478"/>
      <c r="I335" s="1727" t="e">
        <v>#N/A</v>
      </c>
    </row>
    <row r="336" spans="2:9">
      <c r="B336" s="1480">
        <v>12</v>
      </c>
      <c r="C336" s="1415"/>
      <c r="D336" s="1483"/>
      <c r="E336" s="1482"/>
      <c r="F336" s="1483"/>
      <c r="G336" s="1482"/>
      <c r="H336" s="1483"/>
      <c r="I336" s="1484"/>
    </row>
    <row r="337" spans="2:9">
      <c r="B337" s="1480">
        <v>13</v>
      </c>
      <c r="C337" s="1415"/>
      <c r="D337" s="1483"/>
      <c r="E337" s="1482"/>
      <c r="F337" s="1483"/>
      <c r="G337" s="1482"/>
      <c r="H337" s="1483"/>
      <c r="I337" s="1484"/>
    </row>
    <row r="338" spans="2:9">
      <c r="B338" s="1480">
        <v>14</v>
      </c>
      <c r="C338" s="1415"/>
      <c r="D338" s="1483"/>
      <c r="E338" s="1482"/>
      <c r="F338" s="1483"/>
      <c r="G338" s="1482"/>
      <c r="H338" s="1483"/>
      <c r="I338" s="1484"/>
    </row>
    <row r="339" spans="2:9" ht="15.5" thickBot="1">
      <c r="B339" s="1485">
        <v>15</v>
      </c>
      <c r="C339" s="1430"/>
      <c r="D339" s="1488"/>
      <c r="E339" s="1487"/>
      <c r="F339" s="1488"/>
      <c r="G339" s="1487"/>
      <c r="H339" s="1488"/>
      <c r="I339" s="1489"/>
    </row>
    <row r="340" spans="2:9" ht="15.5" thickTop="1">
      <c r="B340" s="1490">
        <v>16</v>
      </c>
      <c r="C340" s="1440"/>
      <c r="D340" s="1493"/>
      <c r="E340" s="1722" t="e">
        <v>#N/A</v>
      </c>
      <c r="F340" s="1493"/>
      <c r="G340" s="1722" t="e">
        <v>#N/A</v>
      </c>
      <c r="H340" s="1493"/>
      <c r="I340" s="1727" t="e">
        <v>#N/A</v>
      </c>
    </row>
    <row r="341" spans="2:9">
      <c r="B341" s="1480">
        <v>17</v>
      </c>
      <c r="C341" s="1415"/>
      <c r="D341" s="1483"/>
      <c r="E341" s="1482"/>
      <c r="F341" s="1483"/>
      <c r="G341" s="1482"/>
      <c r="H341" s="1483"/>
      <c r="I341" s="1484"/>
    </row>
    <row r="342" spans="2:9">
      <c r="B342" s="1480">
        <v>18</v>
      </c>
      <c r="C342" s="1415" t="s">
        <v>296</v>
      </c>
      <c r="D342" s="1483"/>
      <c r="E342" s="1482"/>
      <c r="F342" s="1483"/>
      <c r="G342" s="1482"/>
      <c r="H342" s="1483"/>
      <c r="I342" s="1484"/>
    </row>
    <row r="343" spans="2:9">
      <c r="B343" s="1480">
        <v>19</v>
      </c>
      <c r="C343" s="1415"/>
      <c r="D343" s="1483"/>
      <c r="E343" s="1482"/>
      <c r="F343" s="1483"/>
      <c r="G343" s="1482"/>
      <c r="H343" s="1483"/>
      <c r="I343" s="1484"/>
    </row>
    <row r="344" spans="2:9" ht="15.5" thickBot="1">
      <c r="B344" s="1495">
        <v>20</v>
      </c>
      <c r="C344" s="1452"/>
      <c r="D344" s="1497"/>
      <c r="E344" s="1487"/>
      <c r="F344" s="1497"/>
      <c r="G344" s="1487"/>
      <c r="H344" s="1497"/>
      <c r="I344" s="1489"/>
    </row>
    <row r="345" spans="2:9" ht="15.5" thickTop="1">
      <c r="B345" s="1475">
        <v>21</v>
      </c>
      <c r="C345" s="1404" t="s">
        <v>297</v>
      </c>
      <c r="D345" s="1478"/>
      <c r="E345" s="1722" t="e">
        <v>#N/A</v>
      </c>
      <c r="F345" s="1478"/>
      <c r="G345" s="1722" t="e">
        <v>#N/A</v>
      </c>
      <c r="H345" s="1478"/>
      <c r="I345" s="1727" t="e">
        <v>#N/A</v>
      </c>
    </row>
    <row r="346" spans="2:9">
      <c r="B346" s="1480">
        <v>22</v>
      </c>
      <c r="C346" s="1415"/>
      <c r="D346" s="1483"/>
      <c r="E346" s="1482"/>
      <c r="F346" s="1483"/>
      <c r="G346" s="1482"/>
      <c r="H346" s="1483"/>
      <c r="I346" s="1484"/>
    </row>
    <row r="347" spans="2:9">
      <c r="B347" s="1480">
        <v>23</v>
      </c>
      <c r="C347" s="1415"/>
      <c r="D347" s="1483"/>
      <c r="E347" s="1482"/>
      <c r="F347" s="1483"/>
      <c r="G347" s="1482"/>
      <c r="H347" s="1483"/>
      <c r="I347" s="1484"/>
    </row>
    <row r="348" spans="2:9">
      <c r="B348" s="1480">
        <v>24</v>
      </c>
      <c r="C348" s="1415"/>
      <c r="D348" s="1483"/>
      <c r="E348" s="1482"/>
      <c r="F348" s="1483"/>
      <c r="G348" s="1482"/>
      <c r="H348" s="1483"/>
      <c r="I348" s="1484"/>
    </row>
    <row r="349" spans="2:9" ht="15.5" thickBot="1">
      <c r="B349" s="1485">
        <v>25</v>
      </c>
      <c r="C349" s="1430"/>
      <c r="D349" s="1488"/>
      <c r="E349" s="1487"/>
      <c r="F349" s="1488"/>
      <c r="G349" s="1487"/>
      <c r="H349" s="1488"/>
      <c r="I349" s="1489"/>
    </row>
    <row r="350" spans="2:9" ht="15.5" thickTop="1">
      <c r="B350" s="1490">
        <v>26</v>
      </c>
      <c r="C350" s="1440" t="s">
        <v>298</v>
      </c>
      <c r="D350" s="1493"/>
      <c r="E350" s="1492" t="e">
        <v>#N/A</v>
      </c>
      <c r="F350" s="1493"/>
      <c r="G350" s="1492" t="e">
        <v>#N/A</v>
      </c>
      <c r="H350" s="1493"/>
      <c r="I350" s="1494" t="e">
        <v>#N/A</v>
      </c>
    </row>
    <row r="351" spans="2:9">
      <c r="B351" s="1480">
        <v>27</v>
      </c>
      <c r="C351" s="1415"/>
      <c r="D351" s="1483"/>
      <c r="E351" s="1482"/>
      <c r="F351" s="1483"/>
      <c r="G351" s="1482"/>
      <c r="H351" s="1483"/>
      <c r="I351" s="1484"/>
    </row>
    <row r="352" spans="2:9">
      <c r="B352" s="1480">
        <v>28</v>
      </c>
      <c r="C352" s="1415"/>
      <c r="D352" s="1483"/>
      <c r="E352" s="1482"/>
      <c r="F352" s="1483"/>
      <c r="G352" s="1482"/>
      <c r="H352" s="1483"/>
      <c r="I352" s="1484"/>
    </row>
    <row r="353" spans="2:10">
      <c r="B353" s="1480">
        <v>29</v>
      </c>
      <c r="C353" s="1415"/>
      <c r="D353" s="1483"/>
      <c r="E353" s="1482"/>
      <c r="F353" s="1483"/>
      <c r="G353" s="1482"/>
      <c r="H353" s="1483"/>
      <c r="I353" s="1484"/>
    </row>
    <row r="354" spans="2:10">
      <c r="B354" s="1480">
        <v>30</v>
      </c>
      <c r="C354" s="1415"/>
      <c r="D354" s="1483"/>
      <c r="E354" s="1487"/>
      <c r="F354" s="1483"/>
      <c r="G354" s="1487"/>
      <c r="H354" s="1483"/>
      <c r="I354" s="1489"/>
    </row>
    <row r="355" spans="2:10" ht="15.5" thickBot="1">
      <c r="B355" s="1495"/>
      <c r="C355" s="1452"/>
      <c r="D355" s="1497"/>
      <c r="E355" s="1498"/>
      <c r="F355" s="1497"/>
      <c r="G355" s="1498"/>
      <c r="H355" s="1497"/>
      <c r="I355" s="1499"/>
    </row>
    <row r="356" spans="2:10" ht="15.5" thickTop="1">
      <c r="B356" s="1475">
        <v>1</v>
      </c>
      <c r="C356" s="1404" t="s">
        <v>299</v>
      </c>
      <c r="D356" s="1478"/>
      <c r="E356" s="1492" t="e">
        <v>#N/A</v>
      </c>
      <c r="F356" s="1478"/>
      <c r="G356" s="1492" t="e">
        <v>#N/A</v>
      </c>
      <c r="H356" s="1478"/>
      <c r="I356" s="1494" t="e">
        <v>#N/A</v>
      </c>
    </row>
    <row r="357" spans="2:10">
      <c r="B357" s="1480">
        <v>2</v>
      </c>
      <c r="C357" s="1415"/>
      <c r="D357" s="1483"/>
      <c r="E357" s="1482"/>
      <c r="F357" s="1483"/>
      <c r="G357" s="1482"/>
      <c r="H357" s="1483"/>
      <c r="I357" s="1484"/>
    </row>
    <row r="358" spans="2:10">
      <c r="B358" s="1480">
        <v>3</v>
      </c>
      <c r="C358" s="1415"/>
      <c r="D358" s="1481"/>
      <c r="E358" s="1482"/>
      <c r="F358" s="1483"/>
      <c r="G358" s="1482"/>
      <c r="H358" s="1483"/>
      <c r="I358" s="1484"/>
    </row>
    <row r="359" spans="2:10">
      <c r="B359" s="1480">
        <v>4</v>
      </c>
      <c r="C359" s="1415"/>
      <c r="D359" s="1481"/>
      <c r="E359" s="1482"/>
      <c r="F359" s="1483"/>
      <c r="G359" s="1482"/>
      <c r="H359" s="1483"/>
      <c r="I359" s="1484"/>
    </row>
    <row r="360" spans="2:10" ht="15.5" thickBot="1">
      <c r="B360" s="1500">
        <v>5</v>
      </c>
      <c r="C360" s="1461"/>
      <c r="D360" s="1501"/>
      <c r="E360" s="1502"/>
      <c r="F360" s="1503"/>
      <c r="G360" s="1502"/>
      <c r="H360" s="1503"/>
      <c r="I360" s="1504"/>
      <c r="J360" s="1459"/>
    </row>
  </sheetData>
  <mergeCells count="45">
    <mergeCell ref="B283:B284"/>
    <mergeCell ref="C283:C284"/>
    <mergeCell ref="D283:E283"/>
    <mergeCell ref="F283:G283"/>
    <mergeCell ref="H283:I283"/>
    <mergeCell ref="B243:B244"/>
    <mergeCell ref="C243:C244"/>
    <mergeCell ref="D243:E243"/>
    <mergeCell ref="F243:G243"/>
    <mergeCell ref="H243:I243"/>
    <mergeCell ref="B323:B324"/>
    <mergeCell ref="C323:C324"/>
    <mergeCell ref="D323:E323"/>
    <mergeCell ref="F323:G323"/>
    <mergeCell ref="H323:I323"/>
    <mergeCell ref="B163:B164"/>
    <mergeCell ref="C163:C164"/>
    <mergeCell ref="D163:E163"/>
    <mergeCell ref="F163:G163"/>
    <mergeCell ref="H163:I163"/>
    <mergeCell ref="B203:B204"/>
    <mergeCell ref="C203:C204"/>
    <mergeCell ref="D203:E203"/>
    <mergeCell ref="F203:G203"/>
    <mergeCell ref="H203:I203"/>
    <mergeCell ref="B83:B84"/>
    <mergeCell ref="C83:C84"/>
    <mergeCell ref="D83:E83"/>
    <mergeCell ref="F83:G83"/>
    <mergeCell ref="H83:I83"/>
    <mergeCell ref="B123:B124"/>
    <mergeCell ref="C123:C124"/>
    <mergeCell ref="D123:E123"/>
    <mergeCell ref="F123:G123"/>
    <mergeCell ref="H123:I123"/>
    <mergeCell ref="H3:I3"/>
    <mergeCell ref="F3:G3"/>
    <mergeCell ref="D3:E3"/>
    <mergeCell ref="B43:B44"/>
    <mergeCell ref="C43:C44"/>
    <mergeCell ref="D43:E43"/>
    <mergeCell ref="F43:G43"/>
    <mergeCell ref="H43:I43"/>
    <mergeCell ref="B3:B4"/>
    <mergeCell ref="C3:C4"/>
  </mergeCells>
  <phoneticPr fontId="2"/>
  <dataValidations count="1">
    <dataValidation type="list" allowBlank="1" showInputMessage="1" showErrorMessage="1" sqref="C285:C320 C5:C40 C45:C80 C85:C120 C125:C160 C165:C200 C205:C240 C325:C360 C245:C280" xr:uid="{00000000-0002-0000-0600-000000000000}">
      <formula1>"1半旬,2半旬,3半旬,4半旬,5半旬,6半旬,−"</formula1>
    </dataValidation>
  </dataValidations>
  <pageMargins left="0.25" right="0.25" top="0.75" bottom="0.75" header="0.3" footer="0.3"/>
  <pageSetup paperSize="9" scale="93"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1">
    <tabColor rgb="FF0000FF"/>
  </sheetPr>
  <dimension ref="A1:AZ80"/>
  <sheetViews>
    <sheetView zoomScale="90" zoomScaleNormal="90" zoomScaleSheetLayoutView="75" workbookViewId="0">
      <pane ySplit="7" topLeftCell="A8" activePane="bottomLeft" state="frozenSplit"/>
      <selection activeCell="AX27" sqref="AX27"/>
      <selection pane="bottomLeft" activeCell="AZ20" sqref="AZ20"/>
    </sheetView>
  </sheetViews>
  <sheetFormatPr defaultColWidth="9" defaultRowHeight="14"/>
  <cols>
    <col min="1" max="1" width="2.6328125" style="412" customWidth="1"/>
    <col min="2" max="2" width="5.6328125" style="412" customWidth="1"/>
    <col min="3" max="3" width="6.6328125" style="412" customWidth="1"/>
    <col min="4" max="4" width="8.7265625" style="412" customWidth="1"/>
    <col min="5" max="5" width="9.08984375" style="412" customWidth="1"/>
    <col min="6" max="6" width="7.6328125" style="412" customWidth="1"/>
    <col min="7" max="7" width="2.6328125" style="412" customWidth="1"/>
    <col min="8" max="8" width="7.6328125" style="412" customWidth="1"/>
    <col min="9" max="9" width="10.6328125" style="412" hidden="1" customWidth="1"/>
    <col min="10" max="10" width="6.1796875" style="412" customWidth="1"/>
    <col min="11" max="11" width="7.26953125" style="412" customWidth="1"/>
    <col min="12" max="12" width="6.6328125" style="412" customWidth="1"/>
    <col min="13" max="35" width="6.6328125" style="412" hidden="1" customWidth="1"/>
    <col min="36" max="41" width="7.08984375" style="412" hidden="1" customWidth="1"/>
    <col min="42" max="46" width="7.08984375" style="412" customWidth="1"/>
    <col min="47" max="48" width="7.08984375" style="1248" customWidth="1"/>
    <col min="49" max="49" width="6.6328125" style="412" bestFit="1" customWidth="1"/>
    <col min="50" max="51" width="6.6328125" style="1248" customWidth="1"/>
    <col min="52" max="52" width="7.08984375" style="412" customWidth="1"/>
    <col min="53" max="75" width="9.08984375" style="412" customWidth="1"/>
    <col min="76" max="16384" width="9" style="412"/>
  </cols>
  <sheetData>
    <row r="1" spans="1:52" ht="14.25" customHeight="1">
      <c r="A1" s="413"/>
      <c r="B1" s="403"/>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1900" t="s">
        <v>317</v>
      </c>
      <c r="AS1" s="1900"/>
      <c r="AT1" s="906">
        <f>AVERAGE(AP4:AY4)</f>
        <v>42437.2</v>
      </c>
      <c r="AU1" s="1243"/>
      <c r="AV1" s="1243"/>
      <c r="AW1" s="403"/>
      <c r="AX1" s="1243"/>
      <c r="AY1" s="1243"/>
      <c r="AZ1" s="403"/>
    </row>
    <row r="2" spans="1:52" ht="24" customHeight="1" thickBot="1">
      <c r="A2" s="403"/>
      <c r="B2" s="1904" t="s">
        <v>152</v>
      </c>
      <c r="C2" s="1904"/>
      <c r="D2" s="1904"/>
      <c r="E2" s="1904"/>
      <c r="F2" s="1904"/>
      <c r="G2" s="1904"/>
      <c r="H2" s="1904"/>
      <c r="I2" s="414"/>
      <c r="J2" s="1901">
        <v>2026</v>
      </c>
      <c r="K2" s="1901"/>
      <c r="L2" s="415"/>
      <c r="N2" s="416"/>
      <c r="R2" s="403"/>
      <c r="S2" s="403"/>
      <c r="T2" s="403"/>
      <c r="U2" s="403"/>
      <c r="V2" s="403"/>
      <c r="W2" s="403"/>
      <c r="X2" s="403"/>
      <c r="Y2" s="403"/>
      <c r="Z2" s="403"/>
      <c r="AA2" s="403"/>
      <c r="AB2" s="403"/>
      <c r="AC2" s="403"/>
      <c r="AD2" s="403"/>
      <c r="AE2" s="403"/>
      <c r="AF2" s="403"/>
      <c r="AG2" s="403"/>
      <c r="AK2" s="412">
        <f t="shared" ref="AK2:AL2" si="0">AVERAGE(AK46:AK51)</f>
        <v>106.83333333333333</v>
      </c>
      <c r="AL2" s="412">
        <f t="shared" si="0"/>
        <v>218</v>
      </c>
      <c r="AM2" s="1248">
        <f t="shared" ref="AM2:AR2" si="1">AVERAGE(AM29:AM34)</f>
        <v>51.833333333333336</v>
      </c>
      <c r="AN2" s="1248">
        <f t="shared" si="1"/>
        <v>201.96333333333337</v>
      </c>
      <c r="AO2" s="1248">
        <f t="shared" si="1"/>
        <v>384</v>
      </c>
      <c r="AP2" s="1248">
        <f t="shared" si="1"/>
        <v>195.31666666666669</v>
      </c>
      <c r="AQ2" s="1248">
        <f t="shared" si="1"/>
        <v>276.51666666666665</v>
      </c>
      <c r="AR2" s="1248">
        <f t="shared" si="1"/>
        <v>850.38333333333333</v>
      </c>
      <c r="AS2" s="412">
        <f>AVERAGE(AS29:AS34)</f>
        <v>224.66666666666666</v>
      </c>
      <c r="AT2" s="1248">
        <f t="shared" ref="AT2:AW2" si="2">AVERAGE(AT29:AT34)</f>
        <v>114.33333333333333</v>
      </c>
      <c r="AU2" s="1248">
        <f t="shared" si="2"/>
        <v>505.16666666666669</v>
      </c>
      <c r="AV2" s="1248">
        <f t="shared" si="2"/>
        <v>383.72222222222223</v>
      </c>
      <c r="AW2" s="1248">
        <f t="shared" si="2"/>
        <v>368.83333333333331</v>
      </c>
    </row>
    <row r="3" spans="1:52" ht="17.25" customHeight="1" thickBot="1">
      <c r="A3" s="403"/>
      <c r="I3" s="423"/>
      <c r="J3" s="424"/>
      <c r="K3" s="764"/>
      <c r="L3" s="765" t="s">
        <v>283</v>
      </c>
      <c r="M3" s="726"/>
      <c r="N3" s="726"/>
      <c r="O3" s="726"/>
      <c r="P3" s="726"/>
      <c r="Q3" s="726"/>
      <c r="R3" s="726"/>
      <c r="S3" s="726"/>
      <c r="T3" s="726"/>
      <c r="U3" s="726"/>
      <c r="V3" s="726"/>
      <c r="W3" s="726"/>
      <c r="X3" s="726"/>
      <c r="Y3" s="726"/>
      <c r="Z3" s="726"/>
      <c r="AA3" s="726"/>
      <c r="AB3" s="726"/>
      <c r="AC3" s="767"/>
      <c r="AD3" s="767"/>
      <c r="AE3" s="767"/>
      <c r="AF3" s="767"/>
      <c r="AG3" s="767"/>
      <c r="AH3" s="767"/>
      <c r="AI3" s="767"/>
      <c r="AJ3" s="767"/>
      <c r="AK3" s="768"/>
      <c r="AL3" s="768"/>
      <c r="AM3" s="768">
        <v>43165</v>
      </c>
      <c r="AN3" s="768">
        <v>43162</v>
      </c>
      <c r="AO3" s="768"/>
      <c r="AP3" s="768"/>
      <c r="AQ3" s="768">
        <v>43166</v>
      </c>
      <c r="AR3" s="768">
        <v>43159</v>
      </c>
      <c r="AS3" s="904">
        <v>43522</v>
      </c>
      <c r="AT3" s="1332">
        <v>43886</v>
      </c>
      <c r="AU3" s="1332">
        <v>44256</v>
      </c>
      <c r="AV3" s="1332">
        <v>44621</v>
      </c>
      <c r="AW3" s="1332">
        <v>44986</v>
      </c>
      <c r="AX3" s="1332"/>
      <c r="AY3" s="1332"/>
      <c r="AZ3" s="1332">
        <v>46080</v>
      </c>
    </row>
    <row r="4" spans="1:52" ht="17.25" customHeight="1" thickBot="1">
      <c r="A4" s="403"/>
      <c r="I4" s="763"/>
      <c r="J4" s="424"/>
      <c r="K4" s="424"/>
      <c r="L4" s="766" t="s">
        <v>284</v>
      </c>
      <c r="M4" s="419"/>
      <c r="N4" s="419"/>
      <c r="O4" s="419"/>
      <c r="P4" s="419"/>
      <c r="Q4" s="419"/>
      <c r="R4" s="419"/>
      <c r="S4" s="419"/>
      <c r="T4" s="419"/>
      <c r="U4" s="419"/>
      <c r="V4" s="419"/>
      <c r="W4" s="419"/>
      <c r="X4" s="419"/>
      <c r="Y4" s="419"/>
      <c r="Z4" s="419"/>
      <c r="AA4" s="419"/>
      <c r="AB4" s="419"/>
      <c r="AC4" s="769">
        <v>42087</v>
      </c>
      <c r="AD4" s="769">
        <v>42081</v>
      </c>
      <c r="AE4" s="769">
        <v>42086</v>
      </c>
      <c r="AF4" s="769">
        <v>42086</v>
      </c>
      <c r="AG4" s="769">
        <v>42066</v>
      </c>
      <c r="AH4" s="769">
        <v>42080</v>
      </c>
      <c r="AI4" s="769">
        <v>42073</v>
      </c>
      <c r="AJ4" s="769">
        <v>42077</v>
      </c>
      <c r="AK4" s="770">
        <v>42101</v>
      </c>
      <c r="AL4" s="770">
        <v>42081</v>
      </c>
      <c r="AM4" s="771">
        <v>42080</v>
      </c>
      <c r="AN4" s="771">
        <v>42090</v>
      </c>
      <c r="AO4" s="772">
        <v>42086</v>
      </c>
      <c r="AP4" s="772">
        <v>42070</v>
      </c>
      <c r="AQ4" s="771">
        <v>42093</v>
      </c>
      <c r="AR4" s="771">
        <v>42075</v>
      </c>
      <c r="AS4" s="769">
        <v>42064</v>
      </c>
      <c r="AT4" s="905">
        <v>42062</v>
      </c>
      <c r="AU4" s="1332">
        <v>42065</v>
      </c>
      <c r="AV4" s="1332">
        <v>42076</v>
      </c>
      <c r="AW4" s="1332">
        <v>42067</v>
      </c>
      <c r="AX4" s="1332">
        <v>42081</v>
      </c>
      <c r="AY4" s="1332">
        <v>45719</v>
      </c>
      <c r="AZ4" s="1741">
        <v>46086</v>
      </c>
    </row>
    <row r="5" spans="1:52" ht="17.25" customHeight="1" thickBot="1">
      <c r="A5" s="403"/>
      <c r="B5" s="404"/>
      <c r="C5" s="420"/>
      <c r="D5" s="421" t="s">
        <v>153</v>
      </c>
      <c r="E5" s="776" t="s">
        <v>154</v>
      </c>
      <c r="F5" s="1885" t="s">
        <v>155</v>
      </c>
      <c r="G5" s="1885"/>
      <c r="H5" s="1886"/>
      <c r="I5" s="763"/>
      <c r="J5" s="424"/>
      <c r="K5" s="424"/>
      <c r="L5" s="766" t="s">
        <v>285</v>
      </c>
      <c r="M5" s="419"/>
      <c r="N5" s="419"/>
      <c r="O5" s="419"/>
      <c r="P5" s="419"/>
      <c r="Q5" s="419"/>
      <c r="R5" s="419"/>
      <c r="S5" s="419"/>
      <c r="T5" s="419"/>
      <c r="U5" s="419"/>
      <c r="V5" s="419"/>
      <c r="W5" s="419"/>
      <c r="X5" s="419"/>
      <c r="Y5" s="419"/>
      <c r="Z5" s="419"/>
      <c r="AA5" s="419"/>
      <c r="AB5" s="419"/>
      <c r="AC5" s="419"/>
      <c r="AD5" s="419"/>
      <c r="AE5" s="419"/>
      <c r="AF5" s="419"/>
      <c r="AG5" s="419"/>
      <c r="AH5" s="419"/>
      <c r="AI5" s="419"/>
      <c r="AJ5" s="419"/>
      <c r="AK5" s="425"/>
      <c r="AL5" s="425"/>
      <c r="AM5" s="425"/>
      <c r="AN5" s="425"/>
      <c r="AO5" s="425"/>
      <c r="AP5" s="425"/>
      <c r="AQ5" s="771">
        <v>42101</v>
      </c>
      <c r="AR5" s="771">
        <v>42097</v>
      </c>
      <c r="AS5" s="793">
        <v>43577</v>
      </c>
      <c r="AT5" s="426"/>
      <c r="AU5" s="1251"/>
      <c r="AV5" s="1251"/>
      <c r="AW5" s="426"/>
      <c r="AX5" s="1251"/>
      <c r="AY5" s="1251"/>
      <c r="AZ5" s="426"/>
    </row>
    <row r="6" spans="1:52" ht="15.75" customHeight="1">
      <c r="A6" s="403"/>
      <c r="B6" s="405"/>
      <c r="C6" s="419"/>
      <c r="D6" s="427">
        <v>2026</v>
      </c>
      <c r="E6" s="1902" t="s">
        <v>156</v>
      </c>
      <c r="F6" s="775">
        <f>D6-5</f>
        <v>2021</v>
      </c>
      <c r="G6" s="431" t="s">
        <v>157</v>
      </c>
      <c r="H6" s="432">
        <f>D6-1</f>
        <v>2025</v>
      </c>
      <c r="I6" s="433">
        <f>$H$6-$F$6+1</f>
        <v>5</v>
      </c>
      <c r="J6" s="411"/>
      <c r="K6" s="434"/>
      <c r="L6" s="435"/>
      <c r="M6" s="436">
        <v>1987</v>
      </c>
      <c r="N6" s="437">
        <v>1988</v>
      </c>
      <c r="O6" s="437">
        <v>1989</v>
      </c>
      <c r="P6" s="437">
        <v>1990</v>
      </c>
      <c r="Q6" s="437">
        <v>1991</v>
      </c>
      <c r="R6" s="437">
        <v>1992</v>
      </c>
      <c r="S6" s="437">
        <v>1993</v>
      </c>
      <c r="T6" s="437">
        <v>1994</v>
      </c>
      <c r="U6" s="437">
        <v>1995</v>
      </c>
      <c r="V6" s="437">
        <v>1996</v>
      </c>
      <c r="W6" s="437">
        <v>1997</v>
      </c>
      <c r="X6" s="437">
        <v>1998</v>
      </c>
      <c r="Y6" s="437">
        <v>1999</v>
      </c>
      <c r="Z6" s="437">
        <v>2000</v>
      </c>
      <c r="AA6" s="437">
        <v>2001</v>
      </c>
      <c r="AB6" s="437">
        <v>2002</v>
      </c>
      <c r="AC6" s="437">
        <v>2003</v>
      </c>
      <c r="AD6" s="437">
        <v>2004</v>
      </c>
      <c r="AE6" s="437">
        <v>2005</v>
      </c>
      <c r="AF6" s="437">
        <v>2006</v>
      </c>
      <c r="AG6" s="437">
        <v>2007</v>
      </c>
      <c r="AH6" s="856">
        <v>2008</v>
      </c>
      <c r="AI6" s="856">
        <v>2009</v>
      </c>
      <c r="AJ6" s="1255">
        <v>2010</v>
      </c>
      <c r="AK6" s="1075">
        <v>2011</v>
      </c>
      <c r="AL6" s="1255">
        <v>2012</v>
      </c>
      <c r="AM6" s="1258">
        <v>2013</v>
      </c>
      <c r="AN6" s="1256">
        <v>2014</v>
      </c>
      <c r="AO6" s="1256">
        <v>2015</v>
      </c>
      <c r="AP6" s="1256">
        <v>2016</v>
      </c>
      <c r="AQ6" s="1256">
        <v>2017</v>
      </c>
      <c r="AR6" s="1256">
        <v>2018</v>
      </c>
      <c r="AS6" s="1256">
        <v>2019</v>
      </c>
      <c r="AT6" s="1256">
        <v>2020</v>
      </c>
      <c r="AU6" s="1256">
        <v>2021</v>
      </c>
      <c r="AV6" s="1256">
        <v>2022</v>
      </c>
      <c r="AW6" s="438">
        <v>2023</v>
      </c>
      <c r="AX6" s="1256">
        <v>2024</v>
      </c>
      <c r="AY6" s="1256">
        <v>2025</v>
      </c>
      <c r="AZ6" s="1256">
        <v>2026</v>
      </c>
    </row>
    <row r="7" spans="1:52" ht="14.5" thickBot="1">
      <c r="A7" s="403"/>
      <c r="B7" s="406"/>
      <c r="C7" s="418"/>
      <c r="D7" s="441" t="s">
        <v>543</v>
      </c>
      <c r="E7" s="1903"/>
      <c r="F7" s="1887">
        <f>IF(OR(ISBLANK($F$6),ISBLANK($H$6)),"　ヶ年平均",$H$6-$F$6+1)</f>
        <v>5</v>
      </c>
      <c r="G7" s="1887"/>
      <c r="H7" s="1888"/>
      <c r="I7" s="443"/>
      <c r="J7" s="444"/>
      <c r="K7" s="406"/>
      <c r="L7" s="445"/>
      <c r="M7" s="446" t="s">
        <v>158</v>
      </c>
      <c r="N7" s="447" t="s">
        <v>159</v>
      </c>
      <c r="O7" s="447" t="s">
        <v>160</v>
      </c>
      <c r="P7" s="447" t="s">
        <v>161</v>
      </c>
      <c r="Q7" s="447" t="s">
        <v>162</v>
      </c>
      <c r="R7" s="447" t="s">
        <v>163</v>
      </c>
      <c r="S7" s="447" t="s">
        <v>164</v>
      </c>
      <c r="T7" s="447" t="s">
        <v>165</v>
      </c>
      <c r="U7" s="447" t="s">
        <v>166</v>
      </c>
      <c r="V7" s="447" t="s">
        <v>167</v>
      </c>
      <c r="W7" s="447" t="s">
        <v>168</v>
      </c>
      <c r="X7" s="447" t="s">
        <v>169</v>
      </c>
      <c r="Y7" s="447" t="s">
        <v>170</v>
      </c>
      <c r="Z7" s="447" t="s">
        <v>171</v>
      </c>
      <c r="AA7" s="447" t="s">
        <v>172</v>
      </c>
      <c r="AB7" s="447" t="s">
        <v>173</v>
      </c>
      <c r="AC7" s="447" t="s">
        <v>174</v>
      </c>
      <c r="AD7" s="447" t="s">
        <v>175</v>
      </c>
      <c r="AE7" s="447" t="s">
        <v>176</v>
      </c>
      <c r="AF7" s="447" t="s">
        <v>177</v>
      </c>
      <c r="AG7" s="447" t="s">
        <v>178</v>
      </c>
      <c r="AH7" s="447" t="s">
        <v>179</v>
      </c>
      <c r="AI7" s="447" t="s">
        <v>180</v>
      </c>
      <c r="AJ7" s="447" t="s">
        <v>181</v>
      </c>
      <c r="AK7" s="448" t="s">
        <v>182</v>
      </c>
      <c r="AL7" s="447" t="s">
        <v>183</v>
      </c>
      <c r="AM7" s="449" t="s">
        <v>184</v>
      </c>
      <c r="AN7" s="447" t="s">
        <v>185</v>
      </c>
      <c r="AO7" s="447" t="s">
        <v>186</v>
      </c>
      <c r="AP7" s="447" t="s">
        <v>187</v>
      </c>
      <c r="AQ7" s="744" t="s">
        <v>188</v>
      </c>
      <c r="AR7" s="943" t="s">
        <v>274</v>
      </c>
      <c r="AS7" s="863" t="s">
        <v>314</v>
      </c>
      <c r="AT7" s="1076" t="s">
        <v>325</v>
      </c>
      <c r="AU7" s="1372" t="s">
        <v>329</v>
      </c>
      <c r="AV7" s="1372" t="s">
        <v>330</v>
      </c>
      <c r="AW7" s="1372" t="s">
        <v>477</v>
      </c>
      <c r="AX7" s="1372" t="s">
        <v>332</v>
      </c>
      <c r="AY7" s="1372" t="s">
        <v>537</v>
      </c>
      <c r="AZ7" s="1372" t="s">
        <v>543</v>
      </c>
    </row>
    <row r="8" spans="1:52" ht="13.5" customHeight="1">
      <c r="A8" s="403"/>
      <c r="B8" s="408"/>
      <c r="C8" s="450" t="s">
        <v>189</v>
      </c>
      <c r="D8" s="1602">
        <f t="shared" ref="D8:D39" ca="1" si="3">IF(ISBLANK($D$6),-20,OFFSET($M8,0,$D$6-1987,1,1))</f>
        <v>1</v>
      </c>
      <c r="E8" s="1606">
        <f ca="1">AVERAGE(OFFSET(M8,0,$J$2-1988,1,-10))</f>
        <v>2.6555555555555554</v>
      </c>
      <c r="F8" s="453"/>
      <c r="G8" s="453"/>
      <c r="H8" s="454">
        <f ca="1">IF(OR(ISBLANK($F$6),ISBLANK($H$6)),-20,AVERAGE(OFFSET($M8,0,$F$6-1987,1,$H$6-$F$6+1)))</f>
        <v>4</v>
      </c>
      <c r="I8" s="455"/>
      <c r="J8" s="444"/>
      <c r="K8" s="408"/>
      <c r="L8" s="484" t="s">
        <v>300</v>
      </c>
      <c r="M8" s="456"/>
      <c r="N8" s="457"/>
      <c r="O8" s="457"/>
      <c r="P8" s="457"/>
      <c r="Q8" s="457"/>
      <c r="R8" s="457"/>
      <c r="S8" s="457"/>
      <c r="T8" s="457"/>
      <c r="U8" s="457"/>
      <c r="V8" s="457"/>
      <c r="W8" s="457"/>
      <c r="X8" s="457"/>
      <c r="Y8" s="457"/>
      <c r="Z8" s="457"/>
      <c r="AA8" s="457"/>
      <c r="AB8" s="457"/>
      <c r="AC8" s="457">
        <v>0</v>
      </c>
      <c r="AD8" s="457">
        <v>0</v>
      </c>
      <c r="AE8" s="457">
        <v>0</v>
      </c>
      <c r="AF8" s="457">
        <v>0</v>
      </c>
      <c r="AG8" s="457">
        <v>131</v>
      </c>
      <c r="AH8" s="457">
        <v>0</v>
      </c>
      <c r="AI8" s="457">
        <v>0</v>
      </c>
      <c r="AJ8" s="458">
        <v>0</v>
      </c>
      <c r="AK8" s="457">
        <v>0</v>
      </c>
      <c r="AL8" s="459">
        <v>0</v>
      </c>
      <c r="AM8" s="457"/>
      <c r="AN8" s="457">
        <v>0</v>
      </c>
      <c r="AO8" s="460">
        <v>0</v>
      </c>
      <c r="AP8" s="457">
        <v>0</v>
      </c>
      <c r="AQ8" s="864"/>
      <c r="AR8" s="944">
        <v>0</v>
      </c>
      <c r="AS8" s="953">
        <v>1</v>
      </c>
      <c r="AT8" s="1562">
        <v>2.9</v>
      </c>
      <c r="AU8" s="1562">
        <v>15</v>
      </c>
      <c r="AV8" s="1373">
        <v>0</v>
      </c>
      <c r="AW8" s="1373">
        <v>1</v>
      </c>
      <c r="AX8" s="1373">
        <v>0</v>
      </c>
      <c r="AY8" s="1373">
        <v>4</v>
      </c>
      <c r="AZ8" s="1263">
        <f>フェロモントラップ野帳!$E$10</f>
        <v>1</v>
      </c>
    </row>
    <row r="9" spans="1:52" ht="13.5" customHeight="1">
      <c r="A9" s="403"/>
      <c r="B9" s="408"/>
      <c r="C9" s="461" t="s">
        <v>190</v>
      </c>
      <c r="D9" s="1603">
        <f t="shared" ca="1" si="3"/>
        <v>4</v>
      </c>
      <c r="E9" s="779">
        <f t="shared" ref="E9:E61" ca="1" si="4">AVERAGE(OFFSET(M9,0,$J$2-1988,1,-10))</f>
        <v>7.5</v>
      </c>
      <c r="F9" s="464"/>
      <c r="G9" s="464"/>
      <c r="H9" s="465">
        <f ca="1">IF(OR(ISBLANK($F$6),ISBLANK($H$6)),-20,AVERAGE(OFFSET($M9,0,$F$6-1987,1,$H$6-$F$6+1)))</f>
        <v>3</v>
      </c>
      <c r="I9" s="455"/>
      <c r="J9" s="444"/>
      <c r="K9" s="408"/>
      <c r="L9" s="491" t="s">
        <v>301</v>
      </c>
      <c r="M9" s="466"/>
      <c r="N9" s="467"/>
      <c r="O9" s="467"/>
      <c r="P9" s="467"/>
      <c r="Q9" s="467"/>
      <c r="R9" s="467"/>
      <c r="S9" s="467"/>
      <c r="T9" s="467"/>
      <c r="U9" s="467"/>
      <c r="V9" s="467"/>
      <c r="W9" s="467"/>
      <c r="X9" s="467"/>
      <c r="Y9" s="467"/>
      <c r="Z9" s="467"/>
      <c r="AA9" s="467"/>
      <c r="AB9" s="467"/>
      <c r="AC9" s="467">
        <v>0</v>
      </c>
      <c r="AD9" s="467">
        <v>0</v>
      </c>
      <c r="AE9" s="467">
        <v>0</v>
      </c>
      <c r="AF9" s="467">
        <v>0</v>
      </c>
      <c r="AG9" s="467">
        <v>31</v>
      </c>
      <c r="AH9" s="467">
        <v>0</v>
      </c>
      <c r="AI9" s="467">
        <v>1</v>
      </c>
      <c r="AJ9" s="468">
        <v>0</v>
      </c>
      <c r="AK9" s="467">
        <v>0</v>
      </c>
      <c r="AL9" s="469">
        <v>0</v>
      </c>
      <c r="AM9" s="467">
        <v>0</v>
      </c>
      <c r="AN9" s="467">
        <v>0</v>
      </c>
      <c r="AO9" s="470">
        <v>0</v>
      </c>
      <c r="AP9" s="467">
        <v>15</v>
      </c>
      <c r="AQ9" s="865">
        <v>0</v>
      </c>
      <c r="AR9" s="945">
        <v>0</v>
      </c>
      <c r="AS9" s="954">
        <v>2</v>
      </c>
      <c r="AT9" s="1563">
        <v>43</v>
      </c>
      <c r="AU9" s="1563">
        <v>9</v>
      </c>
      <c r="AV9" s="1374">
        <v>0</v>
      </c>
      <c r="AW9" s="1374">
        <v>6</v>
      </c>
      <c r="AX9" s="1374">
        <v>0</v>
      </c>
      <c r="AY9" s="1374">
        <v>0</v>
      </c>
      <c r="AZ9" s="1266">
        <f>フェロモントラップ野帳!$E$15</f>
        <v>4</v>
      </c>
    </row>
    <row r="10" spans="1:52" ht="13.5" customHeight="1">
      <c r="A10" s="403"/>
      <c r="B10" s="408" t="s">
        <v>191</v>
      </c>
      <c r="C10" s="461" t="s">
        <v>192</v>
      </c>
      <c r="D10" s="1603">
        <f t="shared" ca="1" si="3"/>
        <v>0</v>
      </c>
      <c r="E10" s="779">
        <f t="shared" ca="1" si="4"/>
        <v>21.39</v>
      </c>
      <c r="F10" s="464"/>
      <c r="G10" s="464"/>
      <c r="H10" s="465">
        <f t="shared" ref="H10:H39" ca="1" si="5">IF(OR(ISBLANK($F$6),ISBLANK($H$6)),-20,AVERAGE(OFFSET($M10,0,$F$6-1987,1,$H$6-$F$6+1)))</f>
        <v>29.8</v>
      </c>
      <c r="I10" s="455"/>
      <c r="J10" s="444"/>
      <c r="K10" s="408" t="s">
        <v>286</v>
      </c>
      <c r="L10" s="491" t="s">
        <v>302</v>
      </c>
      <c r="M10" s="466"/>
      <c r="N10" s="467"/>
      <c r="O10" s="467"/>
      <c r="P10" s="467"/>
      <c r="Q10" s="467"/>
      <c r="R10" s="467"/>
      <c r="S10" s="467"/>
      <c r="T10" s="467"/>
      <c r="U10" s="467"/>
      <c r="V10" s="467"/>
      <c r="W10" s="467"/>
      <c r="X10" s="467"/>
      <c r="Y10" s="467"/>
      <c r="Z10" s="467"/>
      <c r="AA10" s="467"/>
      <c r="AB10" s="467"/>
      <c r="AC10" s="467">
        <v>0</v>
      </c>
      <c r="AD10" s="467">
        <v>0</v>
      </c>
      <c r="AE10" s="467">
        <v>0</v>
      </c>
      <c r="AF10" s="467">
        <v>0</v>
      </c>
      <c r="AG10" s="467">
        <v>19</v>
      </c>
      <c r="AH10" s="467">
        <v>0</v>
      </c>
      <c r="AI10" s="467">
        <v>8</v>
      </c>
      <c r="AJ10" s="468">
        <v>6</v>
      </c>
      <c r="AK10" s="467">
        <v>0</v>
      </c>
      <c r="AL10" s="469">
        <v>0</v>
      </c>
      <c r="AM10" s="467">
        <v>0</v>
      </c>
      <c r="AN10" s="467">
        <v>0</v>
      </c>
      <c r="AO10" s="470">
        <v>0</v>
      </c>
      <c r="AP10" s="467">
        <v>0</v>
      </c>
      <c r="AQ10" s="865">
        <v>0</v>
      </c>
      <c r="AR10" s="945">
        <v>22</v>
      </c>
      <c r="AS10" s="954">
        <v>42.9</v>
      </c>
      <c r="AT10" s="1563">
        <v>0</v>
      </c>
      <c r="AU10" s="1563">
        <v>33</v>
      </c>
      <c r="AV10" s="1374">
        <v>14</v>
      </c>
      <c r="AW10" s="1374">
        <v>77</v>
      </c>
      <c r="AX10" s="1374">
        <v>22.142857142857146</v>
      </c>
      <c r="AY10" s="1374">
        <v>2.8571428571428568</v>
      </c>
      <c r="AZ10" s="1266">
        <f>フェロモントラップ野帳!$E$20</f>
        <v>0</v>
      </c>
    </row>
    <row r="11" spans="1:52" ht="13.5" customHeight="1">
      <c r="A11" s="403"/>
      <c r="B11" s="408"/>
      <c r="C11" s="461" t="s">
        <v>193</v>
      </c>
      <c r="D11" s="1603">
        <f t="shared" ca="1" si="3"/>
        <v>0.7142857142857143</v>
      </c>
      <c r="E11" s="779">
        <f t="shared" ca="1" si="4"/>
        <v>188.75</v>
      </c>
      <c r="F11" s="464"/>
      <c r="G11" s="464"/>
      <c r="H11" s="465">
        <f t="shared" ca="1" si="5"/>
        <v>283.8</v>
      </c>
      <c r="I11" s="471"/>
      <c r="J11" s="444"/>
      <c r="K11" s="408"/>
      <c r="L11" s="491" t="s">
        <v>303</v>
      </c>
      <c r="M11" s="466"/>
      <c r="N11" s="467"/>
      <c r="O11" s="467"/>
      <c r="P11" s="467"/>
      <c r="Q11" s="467"/>
      <c r="R11" s="467"/>
      <c r="S11" s="467"/>
      <c r="T11" s="467"/>
      <c r="U11" s="467"/>
      <c r="V11" s="467"/>
      <c r="W11" s="467"/>
      <c r="X11" s="467"/>
      <c r="Y11" s="467"/>
      <c r="Z11" s="467"/>
      <c r="AA11" s="467"/>
      <c r="AB11" s="467"/>
      <c r="AC11" s="467">
        <v>0</v>
      </c>
      <c r="AD11" s="467">
        <v>12</v>
      </c>
      <c r="AE11" s="467">
        <v>0</v>
      </c>
      <c r="AF11" s="467">
        <v>0</v>
      </c>
      <c r="AG11" s="467">
        <v>5</v>
      </c>
      <c r="AH11" s="467">
        <v>1</v>
      </c>
      <c r="AI11" s="467">
        <v>64</v>
      </c>
      <c r="AJ11" s="468">
        <v>8</v>
      </c>
      <c r="AK11" s="467">
        <v>0</v>
      </c>
      <c r="AL11" s="469">
        <v>2</v>
      </c>
      <c r="AM11" s="467">
        <v>2</v>
      </c>
      <c r="AN11" s="467">
        <v>0</v>
      </c>
      <c r="AO11" s="470">
        <v>0</v>
      </c>
      <c r="AP11" s="467">
        <v>13.5</v>
      </c>
      <c r="AQ11" s="865">
        <v>0</v>
      </c>
      <c r="AR11" s="945">
        <v>50.7</v>
      </c>
      <c r="AS11" s="954">
        <v>204.3</v>
      </c>
      <c r="AT11" s="1563">
        <v>200</v>
      </c>
      <c r="AU11" s="1563">
        <v>1227</v>
      </c>
      <c r="AV11" s="1374">
        <v>22</v>
      </c>
      <c r="AW11" s="1374">
        <v>169</v>
      </c>
      <c r="AX11" s="1374">
        <v>1</v>
      </c>
      <c r="AY11" s="1374">
        <v>0</v>
      </c>
      <c r="AZ11" s="1266">
        <f>フェロモントラップ野帳!$E$25</f>
        <v>0.7142857142857143</v>
      </c>
    </row>
    <row r="12" spans="1:52" ht="13.5" customHeight="1">
      <c r="A12" s="403"/>
      <c r="B12" s="408"/>
      <c r="C12" s="461" t="s">
        <v>194</v>
      </c>
      <c r="D12" s="1603">
        <f t="shared" ca="1" si="3"/>
        <v>2.2857142857142856</v>
      </c>
      <c r="E12" s="779">
        <f t="shared" ca="1" si="4"/>
        <v>131.37</v>
      </c>
      <c r="F12" s="464"/>
      <c r="G12" s="464"/>
      <c r="H12" s="465">
        <f t="shared" ca="1" si="5"/>
        <v>224.9</v>
      </c>
      <c r="I12" s="455"/>
      <c r="J12" s="444"/>
      <c r="K12" s="408"/>
      <c r="L12" s="491" t="s">
        <v>304</v>
      </c>
      <c r="M12" s="466"/>
      <c r="N12" s="467"/>
      <c r="O12" s="467"/>
      <c r="P12" s="467"/>
      <c r="Q12" s="467"/>
      <c r="R12" s="467"/>
      <c r="S12" s="467"/>
      <c r="T12" s="467"/>
      <c r="U12" s="467"/>
      <c r="V12" s="467"/>
      <c r="W12" s="467"/>
      <c r="X12" s="467"/>
      <c r="Y12" s="467"/>
      <c r="Z12" s="467"/>
      <c r="AA12" s="467"/>
      <c r="AB12" s="467"/>
      <c r="AC12" s="467">
        <v>3</v>
      </c>
      <c r="AD12" s="467">
        <v>0</v>
      </c>
      <c r="AE12" s="467">
        <v>9</v>
      </c>
      <c r="AF12" s="467">
        <v>2</v>
      </c>
      <c r="AG12" s="467">
        <v>104</v>
      </c>
      <c r="AH12" s="467">
        <v>41</v>
      </c>
      <c r="AI12" s="467">
        <v>156</v>
      </c>
      <c r="AJ12" s="468">
        <v>12</v>
      </c>
      <c r="AK12" s="467">
        <v>0</v>
      </c>
      <c r="AL12" s="469">
        <v>0</v>
      </c>
      <c r="AM12" s="467">
        <f>92</f>
        <v>92</v>
      </c>
      <c r="AN12" s="467">
        <v>0</v>
      </c>
      <c r="AO12" s="470">
        <v>2</v>
      </c>
      <c r="AP12" s="467">
        <v>15</v>
      </c>
      <c r="AQ12" s="865">
        <v>0</v>
      </c>
      <c r="AR12" s="945">
        <v>50.3</v>
      </c>
      <c r="AS12" s="954">
        <v>40.9</v>
      </c>
      <c r="AT12" s="1563">
        <v>83</v>
      </c>
      <c r="AU12" s="1563">
        <v>230.5</v>
      </c>
      <c r="AV12" s="1374">
        <v>105</v>
      </c>
      <c r="AW12" s="1374">
        <v>574.16666666666663</v>
      </c>
      <c r="AX12" s="1374">
        <v>95.833333333333343</v>
      </c>
      <c r="AY12" s="1374">
        <v>119</v>
      </c>
      <c r="AZ12" s="1266">
        <f>フェロモントラップ野帳!$E$30</f>
        <v>2.2857142857142856</v>
      </c>
    </row>
    <row r="13" spans="1:52" ht="13.5" customHeight="1" thickBot="1">
      <c r="A13" s="403"/>
      <c r="B13" s="472"/>
      <c r="C13" s="448" t="s">
        <v>195</v>
      </c>
      <c r="D13" s="1604">
        <f t="shared" ca="1" si="3"/>
        <v>135</v>
      </c>
      <c r="E13" s="1607">
        <f t="shared" ca="1" si="4"/>
        <v>407.11333333333334</v>
      </c>
      <c r="F13" s="475"/>
      <c r="G13" s="475"/>
      <c r="H13" s="476">
        <f t="shared" ca="1" si="5"/>
        <v>640.9666666666667</v>
      </c>
      <c r="I13" s="455"/>
      <c r="J13" s="444"/>
      <c r="K13" s="472"/>
      <c r="L13" s="509" t="s">
        <v>305</v>
      </c>
      <c r="M13" s="477"/>
      <c r="N13" s="478"/>
      <c r="O13" s="478"/>
      <c r="P13" s="478"/>
      <c r="Q13" s="478"/>
      <c r="R13" s="478"/>
      <c r="S13" s="478"/>
      <c r="T13" s="478"/>
      <c r="U13" s="478"/>
      <c r="V13" s="478"/>
      <c r="W13" s="478"/>
      <c r="X13" s="478"/>
      <c r="Y13" s="478"/>
      <c r="Z13" s="478"/>
      <c r="AA13" s="478"/>
      <c r="AB13" s="478">
        <v>470</v>
      </c>
      <c r="AC13" s="478">
        <v>118.3</v>
      </c>
      <c r="AD13" s="478">
        <v>15.8</v>
      </c>
      <c r="AE13" s="478">
        <v>18</v>
      </c>
      <c r="AF13" s="478">
        <v>16</v>
      </c>
      <c r="AG13" s="478">
        <v>413</v>
      </c>
      <c r="AH13" s="478">
        <v>6</v>
      </c>
      <c r="AI13" s="478">
        <v>1</v>
      </c>
      <c r="AJ13" s="479">
        <v>0</v>
      </c>
      <c r="AK13" s="478">
        <v>0</v>
      </c>
      <c r="AL13" s="480">
        <v>20</v>
      </c>
      <c r="AM13" s="478">
        <v>150</v>
      </c>
      <c r="AN13" s="478">
        <v>35</v>
      </c>
      <c r="AO13" s="481">
        <v>7</v>
      </c>
      <c r="AP13" s="478">
        <v>86.3</v>
      </c>
      <c r="AQ13" s="866">
        <v>7</v>
      </c>
      <c r="AR13" s="946">
        <v>155</v>
      </c>
      <c r="AS13" s="955">
        <v>168</v>
      </c>
      <c r="AT13" s="1564">
        <v>450</v>
      </c>
      <c r="AU13" s="1564">
        <v>1538</v>
      </c>
      <c r="AV13" s="1375">
        <v>804</v>
      </c>
      <c r="AW13" s="1375">
        <v>173.83333333333337</v>
      </c>
      <c r="AX13" s="1375">
        <v>452</v>
      </c>
      <c r="AY13" s="1375">
        <v>237</v>
      </c>
      <c r="AZ13" s="1269">
        <f>フェロモントラップ野帳!$E$36</f>
        <v>135</v>
      </c>
    </row>
    <row r="14" spans="1:52" ht="13.5" customHeight="1">
      <c r="A14" s="403"/>
      <c r="B14" s="408"/>
      <c r="C14" s="450" t="s">
        <v>189</v>
      </c>
      <c r="D14" s="1603">
        <f t="shared" ca="1" si="3"/>
        <v>67</v>
      </c>
      <c r="E14" s="1606">
        <f t="shared" ca="1" si="4"/>
        <v>364.81333333333339</v>
      </c>
      <c r="F14" s="453"/>
      <c r="G14" s="453"/>
      <c r="H14" s="454">
        <f t="shared" ca="1" si="5"/>
        <v>585.36666666666667</v>
      </c>
      <c r="I14" s="483"/>
      <c r="J14" s="444"/>
      <c r="K14" s="434"/>
      <c r="L14" s="484" t="s">
        <v>300</v>
      </c>
      <c r="M14" s="456"/>
      <c r="N14" s="457">
        <v>0</v>
      </c>
      <c r="O14" s="457">
        <v>2</v>
      </c>
      <c r="P14" s="457">
        <v>112</v>
      </c>
      <c r="Q14" s="457">
        <v>19</v>
      </c>
      <c r="R14" s="457">
        <v>254</v>
      </c>
      <c r="S14" s="457">
        <v>56</v>
      </c>
      <c r="T14" s="457">
        <v>0</v>
      </c>
      <c r="U14" s="457">
        <v>0</v>
      </c>
      <c r="V14" s="457">
        <v>16</v>
      </c>
      <c r="W14" s="457">
        <v>935</v>
      </c>
      <c r="X14" s="457">
        <v>5</v>
      </c>
      <c r="Y14" s="457">
        <v>147</v>
      </c>
      <c r="Z14" s="457">
        <v>74</v>
      </c>
      <c r="AA14" s="485">
        <v>12</v>
      </c>
      <c r="AB14" s="485">
        <v>341</v>
      </c>
      <c r="AC14" s="485">
        <v>896</v>
      </c>
      <c r="AD14" s="485">
        <v>30</v>
      </c>
      <c r="AE14" s="485">
        <v>148</v>
      </c>
      <c r="AF14" s="485">
        <v>227</v>
      </c>
      <c r="AG14" s="485">
        <v>664</v>
      </c>
      <c r="AH14" s="485">
        <v>106</v>
      </c>
      <c r="AI14" s="485">
        <v>24</v>
      </c>
      <c r="AJ14" s="486">
        <v>47</v>
      </c>
      <c r="AK14" s="485">
        <v>0</v>
      </c>
      <c r="AL14" s="487">
        <v>9</v>
      </c>
      <c r="AM14" s="485">
        <v>235</v>
      </c>
      <c r="AN14" s="485">
        <v>46.5</v>
      </c>
      <c r="AO14" s="488">
        <v>85</v>
      </c>
      <c r="AP14" s="485">
        <v>249</v>
      </c>
      <c r="AQ14" s="867">
        <v>36</v>
      </c>
      <c r="AR14" s="947">
        <v>256</v>
      </c>
      <c r="AS14" s="956">
        <v>160.30000000000001</v>
      </c>
      <c r="AT14" s="806">
        <v>20</v>
      </c>
      <c r="AU14" s="806">
        <v>1869</v>
      </c>
      <c r="AV14" s="1376">
        <v>199</v>
      </c>
      <c r="AW14" s="1373">
        <v>134</v>
      </c>
      <c r="AX14" s="1373">
        <v>559</v>
      </c>
      <c r="AY14" s="1373">
        <v>165.83333333333331</v>
      </c>
      <c r="AZ14" s="1263">
        <f>フェロモントラップ野帳!$E$50</f>
        <v>67</v>
      </c>
    </row>
    <row r="15" spans="1:52" ht="13.5" customHeight="1">
      <c r="A15" s="403"/>
      <c r="B15" s="408"/>
      <c r="C15" s="461" t="s">
        <v>190</v>
      </c>
      <c r="D15" s="1603">
        <f t="shared" ca="1" si="3"/>
        <v>27.857142857142858</v>
      </c>
      <c r="E15" s="779">
        <f t="shared" ca="1" si="4"/>
        <v>175.12966666666668</v>
      </c>
      <c r="F15" s="464"/>
      <c r="G15" s="464"/>
      <c r="H15" s="465">
        <f t="shared" ca="1" si="5"/>
        <v>222.77333333333337</v>
      </c>
      <c r="I15" s="483"/>
      <c r="J15" s="444"/>
      <c r="K15" s="490"/>
      <c r="L15" s="491" t="s">
        <v>301</v>
      </c>
      <c r="M15" s="466"/>
      <c r="N15" s="467">
        <v>103</v>
      </c>
      <c r="O15" s="467">
        <v>188</v>
      </c>
      <c r="P15" s="467">
        <v>14</v>
      </c>
      <c r="Q15" s="467">
        <v>831</v>
      </c>
      <c r="R15" s="467">
        <v>182</v>
      </c>
      <c r="S15" s="467">
        <v>0</v>
      </c>
      <c r="T15" s="467">
        <v>17</v>
      </c>
      <c r="U15" s="467">
        <v>42</v>
      </c>
      <c r="V15" s="467">
        <v>11</v>
      </c>
      <c r="W15" s="467">
        <v>661</v>
      </c>
      <c r="X15" s="467">
        <v>119</v>
      </c>
      <c r="Y15" s="467">
        <v>23</v>
      </c>
      <c r="Z15" s="467">
        <v>201</v>
      </c>
      <c r="AA15" s="492">
        <v>210</v>
      </c>
      <c r="AB15" s="492">
        <v>223</v>
      </c>
      <c r="AC15" s="492">
        <v>483</v>
      </c>
      <c r="AD15" s="492">
        <v>44</v>
      </c>
      <c r="AE15" s="492">
        <v>335</v>
      </c>
      <c r="AF15" s="492">
        <v>44</v>
      </c>
      <c r="AG15" s="492">
        <v>281</v>
      </c>
      <c r="AH15" s="492">
        <v>230</v>
      </c>
      <c r="AI15" s="492">
        <v>74</v>
      </c>
      <c r="AJ15" s="493">
        <v>51</v>
      </c>
      <c r="AK15" s="492">
        <v>31</v>
      </c>
      <c r="AL15" s="494">
        <v>13</v>
      </c>
      <c r="AM15" s="492">
        <v>178</v>
      </c>
      <c r="AN15" s="492">
        <v>22.5</v>
      </c>
      <c r="AO15" s="495">
        <v>32</v>
      </c>
      <c r="AP15" s="492">
        <v>89.2</v>
      </c>
      <c r="AQ15" s="773">
        <v>199.5</v>
      </c>
      <c r="AR15" s="948">
        <v>131</v>
      </c>
      <c r="AS15" s="957">
        <v>100.4</v>
      </c>
      <c r="AT15" s="1276">
        <v>117.33</v>
      </c>
      <c r="AU15" s="1276">
        <v>66.7</v>
      </c>
      <c r="AV15" s="1377">
        <v>651</v>
      </c>
      <c r="AW15" s="1374">
        <v>85</v>
      </c>
      <c r="AX15" s="1374">
        <v>166</v>
      </c>
      <c r="AY15" s="1374">
        <v>145.16666666666666</v>
      </c>
      <c r="AZ15" s="1266">
        <f>フェロモントラップ野帳!$E$55</f>
        <v>27.857142857142858</v>
      </c>
    </row>
    <row r="16" spans="1:52" ht="13.5" customHeight="1">
      <c r="A16" s="403"/>
      <c r="B16" s="408" t="s">
        <v>196</v>
      </c>
      <c r="C16" s="461" t="s">
        <v>192</v>
      </c>
      <c r="D16" s="1603">
        <f t="shared" ca="1" si="3"/>
        <v>18.333333333333332</v>
      </c>
      <c r="E16" s="779">
        <f t="shared" ca="1" si="4"/>
        <v>136.30000000000001</v>
      </c>
      <c r="F16" s="464"/>
      <c r="G16" s="464"/>
      <c r="H16" s="465">
        <f t="shared" ca="1" si="5"/>
        <v>208.06</v>
      </c>
      <c r="I16" s="483"/>
      <c r="J16" s="444"/>
      <c r="K16" s="490" t="s">
        <v>287</v>
      </c>
      <c r="L16" s="491" t="s">
        <v>302</v>
      </c>
      <c r="M16" s="466"/>
      <c r="N16" s="467">
        <v>194</v>
      </c>
      <c r="O16" s="467">
        <v>204</v>
      </c>
      <c r="P16" s="467">
        <v>98</v>
      </c>
      <c r="Q16" s="467">
        <v>1198</v>
      </c>
      <c r="R16" s="467">
        <v>14</v>
      </c>
      <c r="S16" s="467">
        <v>5</v>
      </c>
      <c r="T16" s="467">
        <v>14</v>
      </c>
      <c r="U16" s="467">
        <v>60</v>
      </c>
      <c r="V16" s="467">
        <v>3</v>
      </c>
      <c r="W16" s="467">
        <v>106</v>
      </c>
      <c r="X16" s="467">
        <v>138</v>
      </c>
      <c r="Y16" s="467">
        <v>352</v>
      </c>
      <c r="Z16" s="467">
        <v>188</v>
      </c>
      <c r="AA16" s="492">
        <v>202</v>
      </c>
      <c r="AB16" s="492">
        <v>0</v>
      </c>
      <c r="AC16" s="492">
        <v>1729</v>
      </c>
      <c r="AD16" s="492">
        <v>54</v>
      </c>
      <c r="AE16" s="492">
        <v>130</v>
      </c>
      <c r="AF16" s="492">
        <v>246</v>
      </c>
      <c r="AG16" s="492">
        <v>243</v>
      </c>
      <c r="AH16" s="492">
        <v>105</v>
      </c>
      <c r="AI16" s="492">
        <v>214</v>
      </c>
      <c r="AJ16" s="493">
        <v>114</v>
      </c>
      <c r="AK16" s="492">
        <v>10</v>
      </c>
      <c r="AL16" s="773">
        <v>419</v>
      </c>
      <c r="AM16" s="497">
        <v>54</v>
      </c>
      <c r="AN16" s="497">
        <v>18</v>
      </c>
      <c r="AO16" s="498">
        <v>16</v>
      </c>
      <c r="AP16" s="497">
        <v>6.5</v>
      </c>
      <c r="AQ16" s="773">
        <v>72.2</v>
      </c>
      <c r="AR16" s="948">
        <v>81</v>
      </c>
      <c r="AS16" s="957">
        <v>137</v>
      </c>
      <c r="AT16" s="1276">
        <v>26</v>
      </c>
      <c r="AU16" s="1276">
        <v>125.3</v>
      </c>
      <c r="AV16" s="1377">
        <v>507</v>
      </c>
      <c r="AW16" s="1374">
        <v>72</v>
      </c>
      <c r="AX16" s="1374">
        <v>230</v>
      </c>
      <c r="AY16" s="1374">
        <v>106</v>
      </c>
      <c r="AZ16" s="1266">
        <f>フェロモントラップ野帳!$E$60</f>
        <v>18.333333333333332</v>
      </c>
    </row>
    <row r="17" spans="1:52" ht="13.5" customHeight="1">
      <c r="A17" s="403"/>
      <c r="B17" s="408"/>
      <c r="C17" s="461" t="s">
        <v>193</v>
      </c>
      <c r="D17" s="1603">
        <f t="shared" ca="1" si="3"/>
        <v>8</v>
      </c>
      <c r="E17" s="779">
        <f t="shared" ca="1" si="4"/>
        <v>78.650000000000006</v>
      </c>
      <c r="F17" s="464"/>
      <c r="G17" s="464"/>
      <c r="H17" s="465">
        <f t="shared" ca="1" si="5"/>
        <v>74.400000000000006</v>
      </c>
      <c r="I17" s="483"/>
      <c r="J17" s="444"/>
      <c r="K17" s="490"/>
      <c r="L17" s="491" t="s">
        <v>303</v>
      </c>
      <c r="M17" s="466"/>
      <c r="N17" s="467">
        <v>506</v>
      </c>
      <c r="O17" s="467">
        <v>112</v>
      </c>
      <c r="P17" s="467">
        <v>1</v>
      </c>
      <c r="Q17" s="467">
        <v>235</v>
      </c>
      <c r="R17" s="467">
        <v>21</v>
      </c>
      <c r="S17" s="467">
        <v>50</v>
      </c>
      <c r="T17" s="467">
        <v>70</v>
      </c>
      <c r="U17" s="467">
        <v>56</v>
      </c>
      <c r="V17" s="467">
        <v>25</v>
      </c>
      <c r="W17" s="467">
        <v>55</v>
      </c>
      <c r="X17" s="467">
        <v>42</v>
      </c>
      <c r="Y17" s="467">
        <v>230</v>
      </c>
      <c r="Z17" s="467">
        <v>91</v>
      </c>
      <c r="AA17" s="492">
        <v>150</v>
      </c>
      <c r="AB17" s="492">
        <v>35</v>
      </c>
      <c r="AC17" s="492">
        <v>523</v>
      </c>
      <c r="AD17" s="500">
        <v>48</v>
      </c>
      <c r="AE17" s="500">
        <v>184</v>
      </c>
      <c r="AF17" s="500">
        <v>333</v>
      </c>
      <c r="AG17" s="500">
        <v>291</v>
      </c>
      <c r="AH17" s="500">
        <v>80</v>
      </c>
      <c r="AI17" s="500">
        <v>70</v>
      </c>
      <c r="AJ17" s="501">
        <v>20</v>
      </c>
      <c r="AK17" s="500">
        <v>21</v>
      </c>
      <c r="AL17" s="502">
        <v>186</v>
      </c>
      <c r="AM17" s="500">
        <v>30</v>
      </c>
      <c r="AN17" s="500">
        <v>80.3</v>
      </c>
      <c r="AO17" s="503">
        <v>19</v>
      </c>
      <c r="AP17" s="500">
        <v>20</v>
      </c>
      <c r="AQ17" s="868">
        <v>74.3</v>
      </c>
      <c r="AR17" s="949">
        <v>17.899999999999999</v>
      </c>
      <c r="AS17" s="958">
        <v>208.3</v>
      </c>
      <c r="AT17" s="805">
        <v>94</v>
      </c>
      <c r="AU17" s="805">
        <v>141</v>
      </c>
      <c r="AV17" s="1378">
        <v>34</v>
      </c>
      <c r="AW17" s="1374">
        <v>35</v>
      </c>
      <c r="AX17" s="1374">
        <v>108</v>
      </c>
      <c r="AY17" s="1374">
        <v>54</v>
      </c>
      <c r="AZ17" s="1266">
        <f>フェロモントラップ野帳!$E$65</f>
        <v>8</v>
      </c>
    </row>
    <row r="18" spans="1:52" ht="13.5" customHeight="1">
      <c r="A18" s="403"/>
      <c r="B18" s="408"/>
      <c r="C18" s="461" t="s">
        <v>194</v>
      </c>
      <c r="D18" s="1603">
        <f t="shared" ca="1" si="3"/>
        <v>3.3333333333333335</v>
      </c>
      <c r="E18" s="779">
        <f t="shared" ca="1" si="4"/>
        <v>38.415714285714287</v>
      </c>
      <c r="F18" s="464"/>
      <c r="G18" s="464"/>
      <c r="H18" s="465">
        <f t="shared" ca="1" si="5"/>
        <v>35.971428571428575</v>
      </c>
      <c r="I18" s="483"/>
      <c r="J18" s="444"/>
      <c r="K18" s="490"/>
      <c r="L18" s="491" t="s">
        <v>304</v>
      </c>
      <c r="M18" s="466"/>
      <c r="N18" s="467">
        <v>2425</v>
      </c>
      <c r="O18" s="467">
        <v>22</v>
      </c>
      <c r="P18" s="467">
        <v>90</v>
      </c>
      <c r="Q18" s="467">
        <v>56</v>
      </c>
      <c r="R18" s="467">
        <v>56</v>
      </c>
      <c r="S18" s="467">
        <v>159</v>
      </c>
      <c r="T18" s="467">
        <v>256</v>
      </c>
      <c r="U18" s="467">
        <v>129</v>
      </c>
      <c r="V18" s="467">
        <v>7</v>
      </c>
      <c r="W18" s="467">
        <v>51</v>
      </c>
      <c r="X18" s="467">
        <v>15</v>
      </c>
      <c r="Y18" s="467">
        <v>40</v>
      </c>
      <c r="Z18" s="467">
        <v>72</v>
      </c>
      <c r="AA18" s="492">
        <v>19</v>
      </c>
      <c r="AB18" s="492">
        <v>15</v>
      </c>
      <c r="AC18" s="492">
        <v>308</v>
      </c>
      <c r="AD18" s="492">
        <v>14</v>
      </c>
      <c r="AE18" s="492">
        <v>26</v>
      </c>
      <c r="AF18" s="492">
        <v>252</v>
      </c>
      <c r="AG18" s="492">
        <v>163</v>
      </c>
      <c r="AH18" s="492">
        <v>94</v>
      </c>
      <c r="AI18" s="492">
        <v>17</v>
      </c>
      <c r="AJ18" s="493">
        <v>48</v>
      </c>
      <c r="AK18" s="492">
        <v>8</v>
      </c>
      <c r="AL18" s="494">
        <v>45</v>
      </c>
      <c r="AM18" s="492">
        <v>16</v>
      </c>
      <c r="AN18" s="492">
        <v>4.5999999999999996</v>
      </c>
      <c r="AO18" s="495">
        <v>30</v>
      </c>
      <c r="AP18" s="492">
        <v>9</v>
      </c>
      <c r="AQ18" s="773">
        <v>48</v>
      </c>
      <c r="AR18" s="948">
        <v>19.100000000000001</v>
      </c>
      <c r="AS18" s="957">
        <v>100.7</v>
      </c>
      <c r="AT18" s="1276">
        <v>27.5</v>
      </c>
      <c r="AU18" s="1276">
        <v>100</v>
      </c>
      <c r="AV18" s="1377">
        <v>49</v>
      </c>
      <c r="AW18" s="1374">
        <v>0</v>
      </c>
      <c r="AX18" s="1374">
        <v>23</v>
      </c>
      <c r="AY18" s="1374">
        <v>7.8571428571428568</v>
      </c>
      <c r="AZ18" s="1266">
        <f>フェロモントラップ野帳!$E$70</f>
        <v>3.3333333333333335</v>
      </c>
    </row>
    <row r="19" spans="1:52" ht="13.5" customHeight="1" thickBot="1">
      <c r="A19" s="403"/>
      <c r="B19" s="472"/>
      <c r="C19" s="448" t="s">
        <v>195</v>
      </c>
      <c r="D19" s="1290">
        <f t="shared" ca="1" si="3"/>
        <v>2.5</v>
      </c>
      <c r="E19" s="1607">
        <f t="shared" ca="1" si="4"/>
        <v>9.3214285714285712</v>
      </c>
      <c r="F19" s="475"/>
      <c r="G19" s="475"/>
      <c r="H19" s="476">
        <f t="shared" ca="1" si="5"/>
        <v>9.9428571428571431</v>
      </c>
      <c r="I19" s="507"/>
      <c r="J19" s="444"/>
      <c r="K19" s="508"/>
      <c r="L19" s="509" t="s">
        <v>305</v>
      </c>
      <c r="M19" s="477"/>
      <c r="N19" s="478">
        <v>324</v>
      </c>
      <c r="O19" s="478">
        <v>1</v>
      </c>
      <c r="P19" s="478">
        <v>31</v>
      </c>
      <c r="Q19" s="478">
        <v>64</v>
      </c>
      <c r="R19" s="478">
        <v>4</v>
      </c>
      <c r="S19" s="478">
        <v>4</v>
      </c>
      <c r="T19" s="478">
        <v>57</v>
      </c>
      <c r="U19" s="478">
        <v>22</v>
      </c>
      <c r="V19" s="478">
        <v>64</v>
      </c>
      <c r="W19" s="478">
        <v>12</v>
      </c>
      <c r="X19" s="478">
        <v>7</v>
      </c>
      <c r="Y19" s="478">
        <v>5</v>
      </c>
      <c r="Z19" s="478">
        <v>8</v>
      </c>
      <c r="AA19" s="510">
        <v>16</v>
      </c>
      <c r="AB19" s="510">
        <v>7</v>
      </c>
      <c r="AC19" s="510">
        <v>123</v>
      </c>
      <c r="AD19" s="510">
        <v>4</v>
      </c>
      <c r="AE19" s="510">
        <v>11</v>
      </c>
      <c r="AF19" s="510">
        <v>100</v>
      </c>
      <c r="AG19" s="510">
        <v>54</v>
      </c>
      <c r="AH19" s="510">
        <v>43</v>
      </c>
      <c r="AI19" s="510">
        <v>16</v>
      </c>
      <c r="AJ19" s="511">
        <v>37</v>
      </c>
      <c r="AK19" s="510">
        <v>28</v>
      </c>
      <c r="AL19" s="512">
        <v>25</v>
      </c>
      <c r="AM19" s="510">
        <v>7</v>
      </c>
      <c r="AN19" s="510">
        <v>10</v>
      </c>
      <c r="AO19" s="513">
        <v>23</v>
      </c>
      <c r="AP19" s="510">
        <v>0</v>
      </c>
      <c r="AQ19" s="869">
        <v>24</v>
      </c>
      <c r="AR19" s="950">
        <v>10</v>
      </c>
      <c r="AS19" s="959">
        <v>4</v>
      </c>
      <c r="AT19" s="807">
        <v>5.5</v>
      </c>
      <c r="AU19" s="807">
        <v>11</v>
      </c>
      <c r="AV19" s="1379">
        <v>14</v>
      </c>
      <c r="AW19" s="1375">
        <v>12</v>
      </c>
      <c r="AX19" s="1375">
        <v>5</v>
      </c>
      <c r="AY19" s="1375">
        <v>7.7142857142857135</v>
      </c>
      <c r="AZ19" s="1269">
        <f>フェロモントラップ野帳!$E$76</f>
        <v>2.5</v>
      </c>
    </row>
    <row r="20" spans="1:52" ht="13.5" customHeight="1">
      <c r="A20" s="403"/>
      <c r="B20" s="407"/>
      <c r="C20" s="450" t="s">
        <v>189</v>
      </c>
      <c r="D20" s="1603">
        <f t="shared" ca="1" si="3"/>
        <v>0</v>
      </c>
      <c r="E20" s="1606">
        <f t="shared" ca="1" si="4"/>
        <v>9.4642857142857135</v>
      </c>
      <c r="F20" s="453"/>
      <c r="G20" s="453"/>
      <c r="H20" s="454">
        <f t="shared" ca="1" si="5"/>
        <v>6.3285714285714292</v>
      </c>
      <c r="I20" s="483"/>
      <c r="J20" s="444"/>
      <c r="K20" s="434"/>
      <c r="L20" s="484" t="s">
        <v>300</v>
      </c>
      <c r="M20" s="516"/>
      <c r="N20" s="517">
        <v>109</v>
      </c>
      <c r="O20" s="517">
        <v>1</v>
      </c>
      <c r="P20" s="517">
        <v>2</v>
      </c>
      <c r="Q20" s="517">
        <v>3</v>
      </c>
      <c r="R20" s="517">
        <v>3</v>
      </c>
      <c r="S20" s="517">
        <v>10</v>
      </c>
      <c r="T20" s="517">
        <v>45</v>
      </c>
      <c r="U20" s="517">
        <v>37</v>
      </c>
      <c r="V20" s="517">
        <v>10</v>
      </c>
      <c r="W20" s="517">
        <v>4</v>
      </c>
      <c r="X20" s="517">
        <v>0</v>
      </c>
      <c r="Y20" s="517">
        <v>6</v>
      </c>
      <c r="Z20" s="517">
        <v>5</v>
      </c>
      <c r="AA20" s="518">
        <v>11</v>
      </c>
      <c r="AB20" s="518">
        <v>2</v>
      </c>
      <c r="AC20" s="518">
        <v>21</v>
      </c>
      <c r="AD20" s="518">
        <v>1</v>
      </c>
      <c r="AE20" s="518">
        <v>6</v>
      </c>
      <c r="AF20" s="518">
        <v>66</v>
      </c>
      <c r="AG20" s="518">
        <v>58</v>
      </c>
      <c r="AH20" s="518">
        <v>55</v>
      </c>
      <c r="AI20" s="518">
        <v>26</v>
      </c>
      <c r="AJ20" s="519">
        <v>37</v>
      </c>
      <c r="AK20" s="518">
        <v>13</v>
      </c>
      <c r="AL20" s="520">
        <v>12</v>
      </c>
      <c r="AM20" s="518">
        <v>1</v>
      </c>
      <c r="AN20" s="518">
        <v>15</v>
      </c>
      <c r="AO20" s="521">
        <v>4</v>
      </c>
      <c r="AP20" s="518">
        <v>0</v>
      </c>
      <c r="AQ20" s="870">
        <v>18</v>
      </c>
      <c r="AR20" s="951">
        <v>6</v>
      </c>
      <c r="AS20" s="960">
        <v>0</v>
      </c>
      <c r="AT20" s="1324">
        <v>39</v>
      </c>
      <c r="AU20" s="1324">
        <v>16</v>
      </c>
      <c r="AV20" s="1380">
        <v>4</v>
      </c>
      <c r="AW20" s="1380">
        <v>6</v>
      </c>
      <c r="AX20" s="1380">
        <v>0.71428571428571419</v>
      </c>
      <c r="AY20" s="1380">
        <v>4.9285714285714288</v>
      </c>
      <c r="AZ20" s="522">
        <f>フェロモントラップ野帳!$E$90</f>
        <v>0</v>
      </c>
    </row>
    <row r="21" spans="1:52" ht="13.5" customHeight="1">
      <c r="A21" s="403"/>
      <c r="B21" s="408"/>
      <c r="C21" s="461" t="s">
        <v>190</v>
      </c>
      <c r="D21" s="1603">
        <f t="shared" ca="1" si="3"/>
        <v>0</v>
      </c>
      <c r="E21" s="779">
        <f t="shared" ca="1" si="4"/>
        <v>1.825</v>
      </c>
      <c r="F21" s="464"/>
      <c r="G21" s="464"/>
      <c r="H21" s="465">
        <f t="shared" ca="1" si="5"/>
        <v>1.45</v>
      </c>
      <c r="I21" s="483"/>
      <c r="J21" s="444"/>
      <c r="K21" s="490"/>
      <c r="L21" s="491" t="s">
        <v>301</v>
      </c>
      <c r="M21" s="466"/>
      <c r="N21" s="467">
        <v>5</v>
      </c>
      <c r="O21" s="467">
        <v>2</v>
      </c>
      <c r="P21" s="467">
        <v>2</v>
      </c>
      <c r="Q21" s="467">
        <v>12</v>
      </c>
      <c r="R21" s="467">
        <v>2</v>
      </c>
      <c r="S21" s="467">
        <v>16</v>
      </c>
      <c r="T21" s="467">
        <v>24</v>
      </c>
      <c r="U21" s="467">
        <v>12</v>
      </c>
      <c r="V21" s="467">
        <v>2</v>
      </c>
      <c r="W21" s="467">
        <v>0</v>
      </c>
      <c r="X21" s="467">
        <v>0</v>
      </c>
      <c r="Y21" s="467">
        <v>7</v>
      </c>
      <c r="Z21" s="467">
        <v>4</v>
      </c>
      <c r="AA21" s="492">
        <v>7</v>
      </c>
      <c r="AB21" s="492">
        <v>1</v>
      </c>
      <c r="AC21" s="492">
        <v>2</v>
      </c>
      <c r="AD21" s="492">
        <v>2</v>
      </c>
      <c r="AE21" s="492">
        <v>6</v>
      </c>
      <c r="AF21" s="492">
        <v>22</v>
      </c>
      <c r="AG21" s="492">
        <v>17</v>
      </c>
      <c r="AH21" s="492">
        <v>16</v>
      </c>
      <c r="AI21" s="492">
        <v>6</v>
      </c>
      <c r="AJ21" s="493">
        <v>64</v>
      </c>
      <c r="AK21" s="492">
        <v>6</v>
      </c>
      <c r="AL21" s="494">
        <v>2</v>
      </c>
      <c r="AM21" s="492">
        <v>5</v>
      </c>
      <c r="AN21" s="492">
        <v>0</v>
      </c>
      <c r="AO21" s="495">
        <v>0</v>
      </c>
      <c r="AP21" s="492">
        <v>0</v>
      </c>
      <c r="AQ21" s="773">
        <v>10</v>
      </c>
      <c r="AR21" s="948">
        <v>1</v>
      </c>
      <c r="AS21" s="957">
        <v>0</v>
      </c>
      <c r="AT21" s="1276">
        <v>0</v>
      </c>
      <c r="AU21" s="1276">
        <v>5</v>
      </c>
      <c r="AV21" s="1377">
        <v>0</v>
      </c>
      <c r="AW21" s="1377">
        <v>0</v>
      </c>
      <c r="AX21" s="1377">
        <v>0</v>
      </c>
      <c r="AY21" s="1377">
        <v>2.25</v>
      </c>
      <c r="AZ21" s="496">
        <f>フェロモントラップ野帳!$E$95</f>
        <v>0</v>
      </c>
    </row>
    <row r="22" spans="1:52" ht="13.5" customHeight="1">
      <c r="A22" s="403"/>
      <c r="B22" s="408" t="s">
        <v>197</v>
      </c>
      <c r="C22" s="461" t="s">
        <v>192</v>
      </c>
      <c r="D22" s="1603">
        <f t="shared" ca="1" si="3"/>
        <v>6.666666666666667</v>
      </c>
      <c r="E22" s="779">
        <f t="shared" ca="1" si="4"/>
        <v>1.7310000000000003</v>
      </c>
      <c r="F22" s="464"/>
      <c r="G22" s="464"/>
      <c r="H22" s="465">
        <f t="shared" ca="1" si="5"/>
        <v>2.234</v>
      </c>
      <c r="I22" s="483"/>
      <c r="J22" s="444"/>
      <c r="K22" s="490" t="s">
        <v>197</v>
      </c>
      <c r="L22" s="491" t="s">
        <v>302</v>
      </c>
      <c r="M22" s="466"/>
      <c r="N22" s="467">
        <v>35</v>
      </c>
      <c r="O22" s="467">
        <v>1</v>
      </c>
      <c r="P22" s="467">
        <v>7</v>
      </c>
      <c r="Q22" s="467">
        <v>17</v>
      </c>
      <c r="R22" s="467">
        <v>2</v>
      </c>
      <c r="S22" s="467">
        <v>9</v>
      </c>
      <c r="T22" s="467">
        <v>4</v>
      </c>
      <c r="U22" s="467">
        <v>10</v>
      </c>
      <c r="V22" s="467">
        <v>6</v>
      </c>
      <c r="W22" s="467">
        <v>0</v>
      </c>
      <c r="X22" s="467">
        <v>5</v>
      </c>
      <c r="Y22" s="467">
        <v>7</v>
      </c>
      <c r="Z22" s="467">
        <v>2</v>
      </c>
      <c r="AA22" s="492">
        <v>2</v>
      </c>
      <c r="AB22" s="492">
        <v>2</v>
      </c>
      <c r="AC22" s="492">
        <v>1</v>
      </c>
      <c r="AD22" s="492">
        <v>0</v>
      </c>
      <c r="AE22" s="492">
        <v>1</v>
      </c>
      <c r="AF22" s="492">
        <v>15</v>
      </c>
      <c r="AG22" s="492">
        <v>3</v>
      </c>
      <c r="AH22" s="492">
        <v>2</v>
      </c>
      <c r="AI22" s="492">
        <v>8</v>
      </c>
      <c r="AJ22" s="493">
        <v>0</v>
      </c>
      <c r="AK22" s="492">
        <v>1</v>
      </c>
      <c r="AL22" s="494">
        <v>0</v>
      </c>
      <c r="AM22" s="492">
        <v>0</v>
      </c>
      <c r="AN22" s="492">
        <v>0</v>
      </c>
      <c r="AO22" s="495">
        <v>0</v>
      </c>
      <c r="AP22" s="492">
        <v>0</v>
      </c>
      <c r="AQ22" s="773">
        <v>2</v>
      </c>
      <c r="AR22" s="948">
        <v>0</v>
      </c>
      <c r="AS22" s="957">
        <v>2</v>
      </c>
      <c r="AT22" s="1276">
        <v>2.14</v>
      </c>
      <c r="AU22" s="1276">
        <v>4.17</v>
      </c>
      <c r="AV22" s="1377">
        <v>0</v>
      </c>
      <c r="AW22" s="1377">
        <v>2</v>
      </c>
      <c r="AX22" s="1377">
        <v>5</v>
      </c>
      <c r="AY22" s="1377">
        <v>0</v>
      </c>
      <c r="AZ22" s="496">
        <f>フェロモントラップ野帳!$E$100</f>
        <v>6.666666666666667</v>
      </c>
    </row>
    <row r="23" spans="1:52" ht="13.5" customHeight="1">
      <c r="A23" s="403"/>
      <c r="B23" s="408"/>
      <c r="C23" s="461" t="s">
        <v>193</v>
      </c>
      <c r="D23" s="1603">
        <f t="shared" ca="1" si="3"/>
        <v>183.33333333333334</v>
      </c>
      <c r="E23" s="779">
        <f t="shared" ca="1" si="4"/>
        <v>73.982333333333344</v>
      </c>
      <c r="F23" s="464"/>
      <c r="G23" s="464"/>
      <c r="H23" s="465">
        <f t="shared" ca="1" si="5"/>
        <v>93.832666666666654</v>
      </c>
      <c r="I23" s="483"/>
      <c r="J23" s="444"/>
      <c r="K23" s="490"/>
      <c r="L23" s="491" t="s">
        <v>303</v>
      </c>
      <c r="M23" s="466"/>
      <c r="N23" s="467">
        <v>0</v>
      </c>
      <c r="O23" s="467">
        <v>0</v>
      </c>
      <c r="P23" s="467">
        <v>0</v>
      </c>
      <c r="Q23" s="467">
        <v>6</v>
      </c>
      <c r="R23" s="467">
        <v>0</v>
      </c>
      <c r="S23" s="467">
        <v>1</v>
      </c>
      <c r="T23" s="467">
        <v>3</v>
      </c>
      <c r="U23" s="467">
        <v>0</v>
      </c>
      <c r="V23" s="467">
        <v>0</v>
      </c>
      <c r="W23" s="467">
        <v>18</v>
      </c>
      <c r="X23" s="467">
        <v>117</v>
      </c>
      <c r="Y23" s="467">
        <v>0</v>
      </c>
      <c r="Z23" s="467">
        <v>0</v>
      </c>
      <c r="AA23" s="492">
        <v>5</v>
      </c>
      <c r="AB23" s="492">
        <v>75</v>
      </c>
      <c r="AC23" s="492">
        <v>0</v>
      </c>
      <c r="AD23" s="492">
        <v>2</v>
      </c>
      <c r="AE23" s="492">
        <v>3</v>
      </c>
      <c r="AF23" s="492">
        <v>7</v>
      </c>
      <c r="AG23" s="492">
        <v>1</v>
      </c>
      <c r="AH23" s="492">
        <v>3</v>
      </c>
      <c r="AI23" s="492">
        <v>0</v>
      </c>
      <c r="AJ23" s="493">
        <v>3</v>
      </c>
      <c r="AK23" s="492">
        <v>0</v>
      </c>
      <c r="AL23" s="494">
        <v>0</v>
      </c>
      <c r="AM23" s="492">
        <v>2</v>
      </c>
      <c r="AN23" s="492">
        <v>0</v>
      </c>
      <c r="AO23" s="495">
        <v>9</v>
      </c>
      <c r="AP23" s="492">
        <v>187</v>
      </c>
      <c r="AQ23" s="773">
        <v>0.8</v>
      </c>
      <c r="AR23" s="948">
        <v>81</v>
      </c>
      <c r="AS23" s="957">
        <v>1</v>
      </c>
      <c r="AT23" s="1276">
        <v>0.86</v>
      </c>
      <c r="AU23" s="1276">
        <v>261.83</v>
      </c>
      <c r="AV23" s="1377">
        <v>37</v>
      </c>
      <c r="AW23" s="1377">
        <v>88.333333333333343</v>
      </c>
      <c r="AX23" s="1377">
        <v>57</v>
      </c>
      <c r="AY23" s="1377">
        <v>25</v>
      </c>
      <c r="AZ23" s="496">
        <f>フェロモントラップ野帳!$E$105</f>
        <v>183.33333333333334</v>
      </c>
    </row>
    <row r="24" spans="1:52" ht="13.5" customHeight="1">
      <c r="A24" s="403"/>
      <c r="B24" s="408"/>
      <c r="C24" s="461" t="s">
        <v>194</v>
      </c>
      <c r="D24" s="1603">
        <f t="shared" ca="1" si="3"/>
        <v>356</v>
      </c>
      <c r="E24" s="779">
        <f t="shared" ca="1" si="4"/>
        <v>424.9133333333333</v>
      </c>
      <c r="F24" s="464"/>
      <c r="G24" s="464"/>
      <c r="H24" s="465">
        <f t="shared" ca="1" si="5"/>
        <v>540.36666666666667</v>
      </c>
      <c r="I24" s="483"/>
      <c r="J24" s="444"/>
      <c r="K24" s="490"/>
      <c r="L24" s="491" t="s">
        <v>304</v>
      </c>
      <c r="M24" s="466"/>
      <c r="N24" s="467">
        <v>2</v>
      </c>
      <c r="O24" s="467">
        <v>29</v>
      </c>
      <c r="P24" s="467">
        <v>2</v>
      </c>
      <c r="Q24" s="467">
        <v>429</v>
      </c>
      <c r="R24" s="467">
        <v>5</v>
      </c>
      <c r="S24" s="467">
        <v>0</v>
      </c>
      <c r="T24" s="467">
        <v>5</v>
      </c>
      <c r="U24" s="467">
        <v>0</v>
      </c>
      <c r="V24" s="467">
        <v>0</v>
      </c>
      <c r="W24" s="467">
        <v>304</v>
      </c>
      <c r="X24" s="467">
        <v>176</v>
      </c>
      <c r="Y24" s="467">
        <v>278</v>
      </c>
      <c r="Z24" s="467">
        <v>0</v>
      </c>
      <c r="AA24" s="492">
        <v>108</v>
      </c>
      <c r="AB24" s="492">
        <v>1784</v>
      </c>
      <c r="AC24" s="492">
        <v>66</v>
      </c>
      <c r="AD24" s="492">
        <v>150</v>
      </c>
      <c r="AE24" s="492">
        <v>12</v>
      </c>
      <c r="AF24" s="492">
        <v>2</v>
      </c>
      <c r="AG24" s="492">
        <v>204</v>
      </c>
      <c r="AH24" s="492">
        <v>60</v>
      </c>
      <c r="AI24" s="492">
        <v>66</v>
      </c>
      <c r="AJ24" s="493">
        <v>0</v>
      </c>
      <c r="AK24" s="492">
        <v>0</v>
      </c>
      <c r="AL24" s="494">
        <v>2</v>
      </c>
      <c r="AM24" s="492">
        <v>77</v>
      </c>
      <c r="AN24" s="492">
        <v>8</v>
      </c>
      <c r="AO24" s="495">
        <v>58.33</v>
      </c>
      <c r="AP24" s="492">
        <v>553.5</v>
      </c>
      <c r="AQ24" s="773">
        <v>19.600000000000001</v>
      </c>
      <c r="AR24" s="948">
        <v>840</v>
      </c>
      <c r="AS24" s="957">
        <v>79.2</v>
      </c>
      <c r="AT24" s="1276">
        <v>55</v>
      </c>
      <c r="AU24" s="1276">
        <v>1502</v>
      </c>
      <c r="AV24" s="1377">
        <v>530</v>
      </c>
      <c r="AW24" s="1377">
        <v>76</v>
      </c>
      <c r="AX24" s="1377">
        <v>293</v>
      </c>
      <c r="AY24" s="1377">
        <v>300.83333333333331</v>
      </c>
      <c r="AZ24" s="496">
        <f>フェロモントラップ野帳!$E$110</f>
        <v>356</v>
      </c>
    </row>
    <row r="25" spans="1:52" ht="13.5" customHeight="1" thickBot="1">
      <c r="A25" s="403"/>
      <c r="B25" s="472"/>
      <c r="C25" s="523" t="s">
        <v>195</v>
      </c>
      <c r="D25" s="1290">
        <f t="shared" ca="1" si="3"/>
        <v>494.16666666666669</v>
      </c>
      <c r="E25" s="1607">
        <f t="shared" ca="1" si="4"/>
        <v>1417.1166666666666</v>
      </c>
      <c r="F25" s="475"/>
      <c r="G25" s="475"/>
      <c r="H25" s="476">
        <f t="shared" ca="1" si="5"/>
        <v>1252.4333333333334</v>
      </c>
      <c r="I25" s="507"/>
      <c r="J25" s="444"/>
      <c r="K25" s="508"/>
      <c r="L25" s="509" t="s">
        <v>305</v>
      </c>
      <c r="M25" s="409"/>
      <c r="N25" s="428">
        <v>0</v>
      </c>
      <c r="O25" s="428">
        <v>236</v>
      </c>
      <c r="P25" s="428">
        <v>323</v>
      </c>
      <c r="Q25" s="428">
        <v>1754</v>
      </c>
      <c r="R25" s="428">
        <v>90</v>
      </c>
      <c r="S25" s="428">
        <v>10</v>
      </c>
      <c r="T25" s="428">
        <v>197</v>
      </c>
      <c r="U25" s="428">
        <v>48</v>
      </c>
      <c r="V25" s="428">
        <v>1</v>
      </c>
      <c r="W25" s="428">
        <v>1125</v>
      </c>
      <c r="X25" s="428">
        <v>444</v>
      </c>
      <c r="Y25" s="428">
        <v>615</v>
      </c>
      <c r="Z25" s="428">
        <v>126</v>
      </c>
      <c r="AA25" s="524">
        <v>1430</v>
      </c>
      <c r="AB25" s="524">
        <v>3397</v>
      </c>
      <c r="AC25" s="524">
        <v>1288</v>
      </c>
      <c r="AD25" s="524">
        <v>643</v>
      </c>
      <c r="AE25" s="524">
        <v>1068</v>
      </c>
      <c r="AF25" s="524">
        <v>77</v>
      </c>
      <c r="AG25" s="524">
        <v>1658</v>
      </c>
      <c r="AH25" s="524">
        <v>665</v>
      </c>
      <c r="AI25" s="524">
        <v>1283</v>
      </c>
      <c r="AJ25" s="525">
        <v>14</v>
      </c>
      <c r="AK25" s="524">
        <v>3</v>
      </c>
      <c r="AL25" s="526">
        <v>780</v>
      </c>
      <c r="AM25" s="524">
        <v>238</v>
      </c>
      <c r="AN25" s="524">
        <v>130</v>
      </c>
      <c r="AO25" s="527">
        <v>204.167</v>
      </c>
      <c r="AP25" s="524">
        <v>518.5</v>
      </c>
      <c r="AQ25" s="871">
        <v>525.6</v>
      </c>
      <c r="AR25" s="952">
        <v>5684.5</v>
      </c>
      <c r="AS25" s="961">
        <v>804.4</v>
      </c>
      <c r="AT25" s="1565">
        <v>376</v>
      </c>
      <c r="AU25" s="1565">
        <v>2610</v>
      </c>
      <c r="AV25" s="1381">
        <v>1507</v>
      </c>
      <c r="AW25" s="1381">
        <v>895</v>
      </c>
      <c r="AX25" s="1381">
        <v>561</v>
      </c>
      <c r="AY25" s="1381">
        <v>689.16666666666663</v>
      </c>
      <c r="AZ25" s="528">
        <f>フェロモントラップ野帳!$E$116</f>
        <v>494.16666666666669</v>
      </c>
    </row>
    <row r="26" spans="1:52" ht="13.5" customHeight="1">
      <c r="A26" s="403"/>
      <c r="B26" s="408"/>
      <c r="C26" s="529" t="s">
        <v>189</v>
      </c>
      <c r="D26" s="1603">
        <f t="shared" ca="1" si="3"/>
        <v>154.28571428571428</v>
      </c>
      <c r="E26" s="1606">
        <f t="shared" ca="1" si="4"/>
        <v>1174.7060000000001</v>
      </c>
      <c r="F26" s="453"/>
      <c r="G26" s="453"/>
      <c r="H26" s="454">
        <f t="shared" ca="1" si="5"/>
        <v>1302.6500000000001</v>
      </c>
      <c r="I26" s="483"/>
      <c r="J26" s="444"/>
      <c r="K26" s="490"/>
      <c r="L26" s="484" t="s">
        <v>300</v>
      </c>
      <c r="M26" s="456"/>
      <c r="N26" s="457">
        <v>60</v>
      </c>
      <c r="O26" s="457">
        <v>634</v>
      </c>
      <c r="P26" s="457">
        <v>1030</v>
      </c>
      <c r="Q26" s="457">
        <v>2156</v>
      </c>
      <c r="R26" s="457">
        <v>1163</v>
      </c>
      <c r="S26" s="457">
        <v>1069</v>
      </c>
      <c r="T26" s="457">
        <v>167</v>
      </c>
      <c r="U26" s="457">
        <v>627</v>
      </c>
      <c r="V26" s="457">
        <v>134</v>
      </c>
      <c r="W26" s="457">
        <v>2742</v>
      </c>
      <c r="X26" s="457">
        <v>323</v>
      </c>
      <c r="Y26" s="457">
        <v>498</v>
      </c>
      <c r="Z26" s="457">
        <v>1024</v>
      </c>
      <c r="AA26" s="485">
        <v>487</v>
      </c>
      <c r="AB26" s="485">
        <v>2537</v>
      </c>
      <c r="AC26" s="485">
        <v>2874</v>
      </c>
      <c r="AD26" s="485">
        <v>159</v>
      </c>
      <c r="AE26" s="485">
        <v>975</v>
      </c>
      <c r="AF26" s="485">
        <v>796</v>
      </c>
      <c r="AG26" s="485">
        <v>2580</v>
      </c>
      <c r="AH26" s="485">
        <v>768</v>
      </c>
      <c r="AI26" s="485">
        <v>2503</v>
      </c>
      <c r="AJ26" s="486">
        <v>315</v>
      </c>
      <c r="AK26" s="485">
        <v>100</v>
      </c>
      <c r="AL26" s="487">
        <v>751</v>
      </c>
      <c r="AM26" s="485">
        <v>506</v>
      </c>
      <c r="AN26" s="485">
        <v>217</v>
      </c>
      <c r="AO26" s="485">
        <v>206.7</v>
      </c>
      <c r="AP26" s="485">
        <v>312</v>
      </c>
      <c r="AQ26" s="867">
        <v>851.7</v>
      </c>
      <c r="AR26" s="947">
        <v>2413</v>
      </c>
      <c r="AS26" s="956">
        <v>1161.4000000000001</v>
      </c>
      <c r="AT26" s="806">
        <v>495.71</v>
      </c>
      <c r="AU26" s="806">
        <v>2389.25</v>
      </c>
      <c r="AV26" s="1376">
        <v>2079</v>
      </c>
      <c r="AW26" s="1376">
        <v>833</v>
      </c>
      <c r="AX26" s="1376">
        <v>735</v>
      </c>
      <c r="AY26" s="1376">
        <v>477</v>
      </c>
      <c r="AZ26" s="489">
        <f>フェロモントラップ野帳!$E$130</f>
        <v>154.28571428571428</v>
      </c>
    </row>
    <row r="27" spans="1:52" ht="13.5" customHeight="1">
      <c r="A27" s="403"/>
      <c r="B27" s="408"/>
      <c r="C27" s="461" t="s">
        <v>190</v>
      </c>
      <c r="D27" s="1605">
        <f t="shared" ca="1" si="3"/>
        <v>85</v>
      </c>
      <c r="E27" s="779">
        <f t="shared" ca="1" si="4"/>
        <v>801.14400000000001</v>
      </c>
      <c r="F27" s="464"/>
      <c r="G27" s="464"/>
      <c r="H27" s="465">
        <f t="shared" ca="1" si="5"/>
        <v>913.15</v>
      </c>
      <c r="I27" s="483"/>
      <c r="J27" s="444"/>
      <c r="K27" s="490"/>
      <c r="L27" s="491" t="s">
        <v>301</v>
      </c>
      <c r="M27" s="466"/>
      <c r="N27" s="467">
        <v>829</v>
      </c>
      <c r="O27" s="467">
        <v>1720</v>
      </c>
      <c r="P27" s="467">
        <v>825</v>
      </c>
      <c r="Q27" s="467">
        <v>2417</v>
      </c>
      <c r="R27" s="467">
        <v>995</v>
      </c>
      <c r="S27" s="467">
        <v>2102</v>
      </c>
      <c r="T27" s="467">
        <v>1130</v>
      </c>
      <c r="U27" s="467">
        <v>901</v>
      </c>
      <c r="V27" s="467">
        <v>1399</v>
      </c>
      <c r="W27" s="467">
        <v>842</v>
      </c>
      <c r="X27" s="467">
        <v>127</v>
      </c>
      <c r="Y27" s="467">
        <v>542</v>
      </c>
      <c r="Z27" s="467">
        <v>826</v>
      </c>
      <c r="AA27" s="492">
        <v>176</v>
      </c>
      <c r="AB27" s="492">
        <v>1223</v>
      </c>
      <c r="AC27" s="492">
        <v>1316</v>
      </c>
      <c r="AD27" s="492">
        <v>111</v>
      </c>
      <c r="AE27" s="492">
        <v>1197</v>
      </c>
      <c r="AF27" s="492">
        <v>1550</v>
      </c>
      <c r="AG27" s="492">
        <v>979</v>
      </c>
      <c r="AH27" s="492">
        <v>641</v>
      </c>
      <c r="AI27" s="492">
        <v>804</v>
      </c>
      <c r="AJ27" s="493">
        <v>1446</v>
      </c>
      <c r="AK27" s="492">
        <v>266</v>
      </c>
      <c r="AL27" s="494">
        <v>633</v>
      </c>
      <c r="AM27" s="492">
        <v>276</v>
      </c>
      <c r="AN27" s="492">
        <v>145</v>
      </c>
      <c r="AO27" s="492">
        <v>123.3</v>
      </c>
      <c r="AP27" s="492">
        <v>220.7</v>
      </c>
      <c r="AQ27" s="773">
        <v>961.7</v>
      </c>
      <c r="AR27" s="948">
        <v>438</v>
      </c>
      <c r="AS27" s="957">
        <v>1194</v>
      </c>
      <c r="AT27" s="1276">
        <v>631.29</v>
      </c>
      <c r="AU27" s="1276">
        <v>1821.75</v>
      </c>
      <c r="AV27" s="1377">
        <v>849</v>
      </c>
      <c r="AW27" s="1377">
        <v>635</v>
      </c>
      <c r="AX27" s="1377">
        <v>768</v>
      </c>
      <c r="AY27" s="1377">
        <v>492</v>
      </c>
      <c r="AZ27" s="496">
        <f>フェロモントラップ野帳!$E$135</f>
        <v>85</v>
      </c>
    </row>
    <row r="28" spans="1:52" ht="13.5" customHeight="1">
      <c r="A28" s="403"/>
      <c r="B28" s="408" t="s">
        <v>199</v>
      </c>
      <c r="C28" s="461" t="s">
        <v>192</v>
      </c>
      <c r="D28" s="1603">
        <f t="shared" ca="1" si="3"/>
        <v>52</v>
      </c>
      <c r="E28" s="779">
        <f t="shared" ca="1" si="4"/>
        <v>446.07</v>
      </c>
      <c r="F28" s="464"/>
      <c r="G28" s="464"/>
      <c r="H28" s="465">
        <f t="shared" ca="1" si="5"/>
        <v>519</v>
      </c>
      <c r="I28" s="483"/>
      <c r="J28" s="444"/>
      <c r="K28" s="490" t="s">
        <v>288</v>
      </c>
      <c r="L28" s="491" t="s">
        <v>302</v>
      </c>
      <c r="M28" s="466"/>
      <c r="N28" s="467">
        <v>938</v>
      </c>
      <c r="O28" s="467">
        <v>884</v>
      </c>
      <c r="P28" s="467">
        <v>422</v>
      </c>
      <c r="Q28" s="467">
        <v>1112</v>
      </c>
      <c r="R28" s="467">
        <v>452</v>
      </c>
      <c r="S28" s="467">
        <v>1947</v>
      </c>
      <c r="T28" s="467">
        <v>283</v>
      </c>
      <c r="U28" s="467">
        <v>710</v>
      </c>
      <c r="V28" s="467">
        <v>1618</v>
      </c>
      <c r="W28" s="467">
        <v>506</v>
      </c>
      <c r="X28" s="467">
        <v>2</v>
      </c>
      <c r="Y28" s="467">
        <v>190</v>
      </c>
      <c r="Z28" s="467">
        <v>287</v>
      </c>
      <c r="AA28" s="492">
        <v>6</v>
      </c>
      <c r="AB28" s="492">
        <v>438</v>
      </c>
      <c r="AC28" s="492">
        <v>1163</v>
      </c>
      <c r="AD28" s="492">
        <v>23</v>
      </c>
      <c r="AE28" s="492">
        <v>911</v>
      </c>
      <c r="AF28" s="492">
        <v>2172</v>
      </c>
      <c r="AG28" s="492">
        <v>1089</v>
      </c>
      <c r="AH28" s="492">
        <v>573</v>
      </c>
      <c r="AI28" s="492">
        <v>643</v>
      </c>
      <c r="AJ28" s="493">
        <v>762</v>
      </c>
      <c r="AK28" s="492">
        <v>365</v>
      </c>
      <c r="AL28" s="494">
        <v>285</v>
      </c>
      <c r="AM28" s="492">
        <v>148</v>
      </c>
      <c r="AN28" s="492">
        <v>210</v>
      </c>
      <c r="AO28" s="492">
        <v>182.7</v>
      </c>
      <c r="AP28" s="492">
        <v>70.3</v>
      </c>
      <c r="AQ28" s="773">
        <v>358.3</v>
      </c>
      <c r="AR28" s="948">
        <v>96.1</v>
      </c>
      <c r="AS28" s="957">
        <v>1004</v>
      </c>
      <c r="AT28" s="1276">
        <v>337</v>
      </c>
      <c r="AU28" s="1276">
        <v>1102</v>
      </c>
      <c r="AV28" s="1377">
        <v>577</v>
      </c>
      <c r="AW28" s="1377">
        <v>379</v>
      </c>
      <c r="AX28" s="1377">
        <v>419</v>
      </c>
      <c r="AY28" s="1377">
        <v>118</v>
      </c>
      <c r="AZ28" s="496">
        <f>フェロモントラップ野帳!$E$140</f>
        <v>52</v>
      </c>
    </row>
    <row r="29" spans="1:52" ht="13.5" customHeight="1">
      <c r="A29" s="403"/>
      <c r="B29" s="408"/>
      <c r="C29" s="461" t="s">
        <v>193</v>
      </c>
      <c r="D29" s="1603">
        <f t="shared" ca="1" si="3"/>
        <v>31.666666666666668</v>
      </c>
      <c r="E29" s="779">
        <f t="shared" ca="1" si="4"/>
        <v>209.417</v>
      </c>
      <c r="F29" s="464"/>
      <c r="G29" s="464"/>
      <c r="H29" s="465">
        <f t="shared" ca="1" si="5"/>
        <v>233.8</v>
      </c>
      <c r="I29" s="483"/>
      <c r="J29" s="444"/>
      <c r="K29" s="490"/>
      <c r="L29" s="491" t="s">
        <v>303</v>
      </c>
      <c r="M29" s="466"/>
      <c r="N29" s="467">
        <v>690</v>
      </c>
      <c r="O29" s="467">
        <v>213</v>
      </c>
      <c r="P29" s="467">
        <v>100</v>
      </c>
      <c r="Q29" s="467">
        <v>404</v>
      </c>
      <c r="R29" s="467">
        <v>244</v>
      </c>
      <c r="S29" s="467">
        <v>596</v>
      </c>
      <c r="T29" s="467">
        <v>268</v>
      </c>
      <c r="U29" s="467">
        <v>617</v>
      </c>
      <c r="V29" s="467">
        <v>716</v>
      </c>
      <c r="W29" s="467">
        <v>165</v>
      </c>
      <c r="X29" s="467">
        <v>5</v>
      </c>
      <c r="Y29" s="467">
        <v>87</v>
      </c>
      <c r="Z29" s="467">
        <v>211</v>
      </c>
      <c r="AA29" s="492">
        <v>158</v>
      </c>
      <c r="AB29" s="492">
        <v>58</v>
      </c>
      <c r="AC29" s="492">
        <v>465</v>
      </c>
      <c r="AD29" s="492">
        <v>30</v>
      </c>
      <c r="AE29" s="492">
        <v>272</v>
      </c>
      <c r="AF29" s="492">
        <v>1008</v>
      </c>
      <c r="AG29" s="492">
        <v>1074</v>
      </c>
      <c r="AH29" s="492">
        <v>448</v>
      </c>
      <c r="AI29" s="492">
        <v>537</v>
      </c>
      <c r="AJ29" s="493">
        <v>312</v>
      </c>
      <c r="AK29" s="492">
        <v>394</v>
      </c>
      <c r="AL29" s="494">
        <v>70</v>
      </c>
      <c r="AM29" s="492">
        <v>91</v>
      </c>
      <c r="AN29" s="492">
        <v>332</v>
      </c>
      <c r="AO29" s="492">
        <v>105</v>
      </c>
      <c r="AP29" s="492">
        <v>40.799999999999997</v>
      </c>
      <c r="AQ29" s="773">
        <v>300.5</v>
      </c>
      <c r="AR29" s="948">
        <v>95.7</v>
      </c>
      <c r="AS29" s="957">
        <v>294</v>
      </c>
      <c r="AT29" s="1276">
        <v>194.17</v>
      </c>
      <c r="AU29" s="1276">
        <v>324</v>
      </c>
      <c r="AV29" s="1377">
        <v>449</v>
      </c>
      <c r="AW29" s="1377">
        <v>189</v>
      </c>
      <c r="AX29" s="1377">
        <v>168</v>
      </c>
      <c r="AY29" s="1377">
        <v>39</v>
      </c>
      <c r="AZ29" s="496">
        <f>フェロモントラップ野帳!$E$145</f>
        <v>31.666666666666668</v>
      </c>
    </row>
    <row r="30" spans="1:52">
      <c r="A30" s="403"/>
      <c r="B30" s="408"/>
      <c r="C30" s="461" t="s">
        <v>194</v>
      </c>
      <c r="D30" s="1603" t="e">
        <f t="shared" ca="1" si="3"/>
        <v>#N/A</v>
      </c>
      <c r="E30" s="779">
        <f t="shared" ca="1" si="4"/>
        <v>124.00300000000001</v>
      </c>
      <c r="F30" s="464"/>
      <c r="G30" s="464"/>
      <c r="H30" s="465">
        <f t="shared" ca="1" si="5"/>
        <v>111.4</v>
      </c>
      <c r="I30" s="483"/>
      <c r="J30" s="444"/>
      <c r="K30" s="490"/>
      <c r="L30" s="491" t="s">
        <v>304</v>
      </c>
      <c r="M30" s="466">
        <v>158</v>
      </c>
      <c r="N30" s="467">
        <v>120</v>
      </c>
      <c r="O30" s="467">
        <v>233</v>
      </c>
      <c r="P30" s="467">
        <v>107</v>
      </c>
      <c r="Q30" s="467">
        <v>306</v>
      </c>
      <c r="R30" s="467">
        <v>176</v>
      </c>
      <c r="S30" s="467">
        <v>293</v>
      </c>
      <c r="T30" s="467">
        <v>17</v>
      </c>
      <c r="U30" s="467">
        <v>122</v>
      </c>
      <c r="V30" s="467">
        <v>431</v>
      </c>
      <c r="W30" s="467">
        <v>122</v>
      </c>
      <c r="X30" s="467">
        <v>23</v>
      </c>
      <c r="Y30" s="467">
        <v>11</v>
      </c>
      <c r="Z30" s="467">
        <v>52</v>
      </c>
      <c r="AA30" s="492">
        <v>89</v>
      </c>
      <c r="AB30" s="492">
        <v>57</v>
      </c>
      <c r="AC30" s="492">
        <v>105</v>
      </c>
      <c r="AD30" s="492">
        <v>32</v>
      </c>
      <c r="AE30" s="492">
        <v>188</v>
      </c>
      <c r="AF30" s="492">
        <v>190</v>
      </c>
      <c r="AG30" s="492">
        <v>471</v>
      </c>
      <c r="AH30" s="492">
        <v>120</v>
      </c>
      <c r="AI30" s="492">
        <v>177</v>
      </c>
      <c r="AJ30" s="493">
        <v>119</v>
      </c>
      <c r="AK30" s="492">
        <v>223</v>
      </c>
      <c r="AL30" s="494">
        <v>100</v>
      </c>
      <c r="AM30" s="492">
        <v>74</v>
      </c>
      <c r="AN30" s="492">
        <v>119</v>
      </c>
      <c r="AO30" s="492">
        <v>23</v>
      </c>
      <c r="AP30" s="492">
        <v>50.6</v>
      </c>
      <c r="AQ30" s="773">
        <v>309.5</v>
      </c>
      <c r="AR30" s="948">
        <v>46.1</v>
      </c>
      <c r="AS30" s="957">
        <v>158</v>
      </c>
      <c r="AT30" s="1276">
        <v>118.83</v>
      </c>
      <c r="AU30" s="1276">
        <v>139</v>
      </c>
      <c r="AV30" s="1377">
        <v>233</v>
      </c>
      <c r="AW30" s="1377">
        <v>121</v>
      </c>
      <c r="AX30" s="1377">
        <v>35</v>
      </c>
      <c r="AY30" s="1377">
        <v>29</v>
      </c>
      <c r="AZ30" s="496" t="e">
        <f>フェロモントラップ野帳!$E$150</f>
        <v>#N/A</v>
      </c>
    </row>
    <row r="31" spans="1:52" ht="14.5" thickBot="1">
      <c r="A31" s="403"/>
      <c r="B31" s="408"/>
      <c r="C31" s="448" t="s">
        <v>195</v>
      </c>
      <c r="D31" s="1290" t="e">
        <f t="shared" ca="1" si="3"/>
        <v>#N/A</v>
      </c>
      <c r="E31" s="1607">
        <f t="shared" ca="1" si="4"/>
        <v>343.32</v>
      </c>
      <c r="F31" s="475"/>
      <c r="G31" s="475"/>
      <c r="H31" s="476">
        <f t="shared" ca="1" si="5"/>
        <v>407.7</v>
      </c>
      <c r="I31" s="507"/>
      <c r="J31" s="444"/>
      <c r="K31" s="490"/>
      <c r="L31" s="509" t="s">
        <v>305</v>
      </c>
      <c r="M31" s="477">
        <v>283</v>
      </c>
      <c r="N31" s="478">
        <v>100</v>
      </c>
      <c r="O31" s="478">
        <v>203</v>
      </c>
      <c r="P31" s="478">
        <v>336</v>
      </c>
      <c r="Q31" s="478">
        <v>387</v>
      </c>
      <c r="R31" s="478">
        <v>189</v>
      </c>
      <c r="S31" s="478">
        <v>270</v>
      </c>
      <c r="T31" s="478">
        <v>28</v>
      </c>
      <c r="U31" s="478">
        <v>151</v>
      </c>
      <c r="V31" s="478">
        <v>190</v>
      </c>
      <c r="W31" s="478">
        <v>118</v>
      </c>
      <c r="X31" s="478">
        <v>397</v>
      </c>
      <c r="Y31" s="478">
        <v>27</v>
      </c>
      <c r="Z31" s="478">
        <v>31</v>
      </c>
      <c r="AA31" s="510">
        <v>70</v>
      </c>
      <c r="AB31" s="510">
        <v>124</v>
      </c>
      <c r="AC31" s="510">
        <v>118</v>
      </c>
      <c r="AD31" s="510">
        <v>283</v>
      </c>
      <c r="AE31" s="510">
        <v>129</v>
      </c>
      <c r="AF31" s="510">
        <v>134</v>
      </c>
      <c r="AG31" s="510">
        <v>109</v>
      </c>
      <c r="AH31" s="510">
        <v>63</v>
      </c>
      <c r="AI31" s="510">
        <v>125</v>
      </c>
      <c r="AJ31" s="511">
        <v>71</v>
      </c>
      <c r="AK31" s="510">
        <v>49</v>
      </c>
      <c r="AL31" s="512">
        <v>46</v>
      </c>
      <c r="AM31" s="510">
        <v>44</v>
      </c>
      <c r="AN31" s="510">
        <v>44.2</v>
      </c>
      <c r="AO31" s="510">
        <v>24</v>
      </c>
      <c r="AP31" s="510">
        <v>90.7</v>
      </c>
      <c r="AQ31" s="869">
        <v>129</v>
      </c>
      <c r="AR31" s="950">
        <v>1120</v>
      </c>
      <c r="AS31" s="959">
        <v>44</v>
      </c>
      <c r="AT31" s="807">
        <v>11</v>
      </c>
      <c r="AU31" s="807">
        <v>193</v>
      </c>
      <c r="AV31" s="1379">
        <v>877</v>
      </c>
      <c r="AW31" s="1379">
        <v>818</v>
      </c>
      <c r="AX31" s="1379">
        <v>108</v>
      </c>
      <c r="AY31" s="1379">
        <v>42.5</v>
      </c>
      <c r="AZ31" s="514" t="e">
        <f>フェロモントラップ野帳!$E$156</f>
        <v>#N/A</v>
      </c>
    </row>
    <row r="32" spans="1:52" ht="13.5" customHeight="1">
      <c r="A32" s="403"/>
      <c r="B32" s="407"/>
      <c r="C32" s="529" t="s">
        <v>189</v>
      </c>
      <c r="D32" s="1603" t="e">
        <f t="shared" ca="1" si="3"/>
        <v>#N/A</v>
      </c>
      <c r="E32" s="1606">
        <f t="shared" ca="1" si="4"/>
        <v>486.15899999999999</v>
      </c>
      <c r="F32" s="453"/>
      <c r="G32" s="453"/>
      <c r="H32" s="454">
        <f t="shared" ca="1" si="5"/>
        <v>478.41999999999996</v>
      </c>
      <c r="I32" s="483"/>
      <c r="J32" s="444"/>
      <c r="K32" s="434"/>
      <c r="L32" s="484" t="s">
        <v>300</v>
      </c>
      <c r="M32" s="516">
        <v>520</v>
      </c>
      <c r="N32" s="517">
        <v>201</v>
      </c>
      <c r="O32" s="517">
        <v>66</v>
      </c>
      <c r="P32" s="517">
        <v>811</v>
      </c>
      <c r="Q32" s="517">
        <v>878</v>
      </c>
      <c r="R32" s="517">
        <v>119</v>
      </c>
      <c r="S32" s="517">
        <v>29</v>
      </c>
      <c r="T32" s="517">
        <v>14</v>
      </c>
      <c r="U32" s="517">
        <v>65</v>
      </c>
      <c r="V32" s="517">
        <v>63</v>
      </c>
      <c r="W32" s="517">
        <v>1045</v>
      </c>
      <c r="X32" s="517">
        <v>135</v>
      </c>
      <c r="Y32" s="517">
        <v>844</v>
      </c>
      <c r="Z32" s="517">
        <v>19</v>
      </c>
      <c r="AA32" s="518">
        <v>270</v>
      </c>
      <c r="AB32" s="518">
        <v>482</v>
      </c>
      <c r="AC32" s="518">
        <v>481</v>
      </c>
      <c r="AD32" s="518">
        <v>589</v>
      </c>
      <c r="AE32" s="518">
        <v>409</v>
      </c>
      <c r="AF32" s="518">
        <v>79</v>
      </c>
      <c r="AG32" s="518">
        <v>65</v>
      </c>
      <c r="AH32" s="518">
        <v>232</v>
      </c>
      <c r="AI32" s="518">
        <v>775</v>
      </c>
      <c r="AJ32" s="519">
        <v>106</v>
      </c>
      <c r="AK32" s="518">
        <v>27</v>
      </c>
      <c r="AL32" s="520">
        <v>30</v>
      </c>
      <c r="AM32" s="518">
        <v>34</v>
      </c>
      <c r="AN32" s="518">
        <v>141.5</v>
      </c>
      <c r="AO32" s="518">
        <v>209</v>
      </c>
      <c r="AP32" s="518">
        <v>382</v>
      </c>
      <c r="AQ32" s="870">
        <v>257.2</v>
      </c>
      <c r="AR32" s="951">
        <v>1670</v>
      </c>
      <c r="AS32" s="960">
        <v>114.29</v>
      </c>
      <c r="AT32" s="1324">
        <v>46</v>
      </c>
      <c r="AU32" s="1324">
        <v>762</v>
      </c>
      <c r="AV32" s="1380">
        <v>257</v>
      </c>
      <c r="AW32" s="1380">
        <v>392</v>
      </c>
      <c r="AX32" s="1380">
        <v>971</v>
      </c>
      <c r="AY32" s="1380">
        <v>10.1</v>
      </c>
      <c r="AZ32" s="522" t="e">
        <f>フェロモントラップ野帳!$E$170</f>
        <v>#N/A</v>
      </c>
    </row>
    <row r="33" spans="1:52" ht="13.5" customHeight="1">
      <c r="A33" s="403"/>
      <c r="B33" s="408"/>
      <c r="C33" s="461" t="s">
        <v>190</v>
      </c>
      <c r="D33" s="1603" t="e">
        <f t="shared" ca="1" si="3"/>
        <v>#N/A</v>
      </c>
      <c r="E33" s="779">
        <f t="shared" ca="1" si="4"/>
        <v>536.40499999999997</v>
      </c>
      <c r="F33" s="464"/>
      <c r="G33" s="464"/>
      <c r="H33" s="465">
        <f t="shared" ca="1" si="5"/>
        <v>507.88</v>
      </c>
      <c r="I33" s="483"/>
      <c r="J33" s="444"/>
      <c r="K33" s="490"/>
      <c r="L33" s="491" t="s">
        <v>301</v>
      </c>
      <c r="M33" s="466">
        <v>941</v>
      </c>
      <c r="N33" s="467">
        <v>196</v>
      </c>
      <c r="O33" s="467">
        <v>744</v>
      </c>
      <c r="P33" s="467">
        <v>517</v>
      </c>
      <c r="Q33" s="467">
        <v>3848</v>
      </c>
      <c r="R33" s="467">
        <v>302</v>
      </c>
      <c r="S33" s="467">
        <v>275</v>
      </c>
      <c r="T33" s="467">
        <v>430</v>
      </c>
      <c r="U33" s="467">
        <v>184</v>
      </c>
      <c r="V33" s="467">
        <v>51</v>
      </c>
      <c r="W33" s="467">
        <v>830</v>
      </c>
      <c r="X33" s="467">
        <v>71</v>
      </c>
      <c r="Y33" s="467">
        <v>750</v>
      </c>
      <c r="Z33" s="467">
        <v>184</v>
      </c>
      <c r="AA33" s="492">
        <v>345</v>
      </c>
      <c r="AB33" s="492">
        <v>1133</v>
      </c>
      <c r="AC33" s="492">
        <v>500</v>
      </c>
      <c r="AD33" s="492">
        <v>591</v>
      </c>
      <c r="AE33" s="492">
        <v>693</v>
      </c>
      <c r="AF33" s="492">
        <v>529</v>
      </c>
      <c r="AG33" s="492">
        <v>210</v>
      </c>
      <c r="AH33" s="492">
        <v>941</v>
      </c>
      <c r="AI33" s="492">
        <v>3233</v>
      </c>
      <c r="AJ33" s="493">
        <v>90</v>
      </c>
      <c r="AK33" s="492">
        <v>100</v>
      </c>
      <c r="AL33" s="494">
        <v>94</v>
      </c>
      <c r="AM33" s="492">
        <v>44</v>
      </c>
      <c r="AN33" s="492">
        <v>231.33</v>
      </c>
      <c r="AO33" s="492">
        <v>700</v>
      </c>
      <c r="AP33" s="492">
        <v>398</v>
      </c>
      <c r="AQ33" s="773">
        <v>340.8</v>
      </c>
      <c r="AR33" s="948">
        <v>1503</v>
      </c>
      <c r="AS33" s="957">
        <v>435.71</v>
      </c>
      <c r="AT33" s="1276">
        <v>147.13999999999999</v>
      </c>
      <c r="AU33" s="1276">
        <v>1311</v>
      </c>
      <c r="AV33" s="1377">
        <v>338</v>
      </c>
      <c r="AW33" s="1377">
        <v>445</v>
      </c>
      <c r="AX33" s="1377">
        <v>444</v>
      </c>
      <c r="AY33" s="1377">
        <v>1.4</v>
      </c>
      <c r="AZ33" s="496" t="e">
        <f>フェロモントラップ野帳!$E$175</f>
        <v>#N/A</v>
      </c>
    </row>
    <row r="34" spans="1:52" ht="13.5" customHeight="1">
      <c r="A34" s="403"/>
      <c r="B34" s="408" t="s">
        <v>200</v>
      </c>
      <c r="C34" s="461" t="s">
        <v>192</v>
      </c>
      <c r="D34" s="1603" t="e">
        <f t="shared" ca="1" si="3"/>
        <v>#N/A</v>
      </c>
      <c r="E34" s="779">
        <f t="shared" ca="1" si="4"/>
        <v>402.15933333333339</v>
      </c>
      <c r="F34" s="464"/>
      <c r="G34" s="464"/>
      <c r="H34" s="465">
        <f t="shared" ca="1" si="5"/>
        <v>470.26666666666671</v>
      </c>
      <c r="I34" s="483"/>
      <c r="J34" s="444"/>
      <c r="K34" s="490" t="s">
        <v>289</v>
      </c>
      <c r="L34" s="491" t="s">
        <v>302</v>
      </c>
      <c r="M34" s="466">
        <v>1749</v>
      </c>
      <c r="N34" s="467">
        <v>760</v>
      </c>
      <c r="O34" s="467">
        <v>2113</v>
      </c>
      <c r="P34" s="467">
        <v>791</v>
      </c>
      <c r="Q34" s="467">
        <v>3223</v>
      </c>
      <c r="R34" s="467">
        <v>1463</v>
      </c>
      <c r="S34" s="467">
        <v>579</v>
      </c>
      <c r="T34" s="467">
        <v>355</v>
      </c>
      <c r="U34" s="467">
        <v>539</v>
      </c>
      <c r="V34" s="467">
        <v>354</v>
      </c>
      <c r="W34" s="467">
        <v>1012</v>
      </c>
      <c r="X34" s="467">
        <v>81</v>
      </c>
      <c r="Y34" s="467">
        <v>550</v>
      </c>
      <c r="Z34" s="467">
        <v>166</v>
      </c>
      <c r="AA34" s="492">
        <v>954</v>
      </c>
      <c r="AB34" s="492">
        <v>450</v>
      </c>
      <c r="AC34" s="492">
        <v>1063</v>
      </c>
      <c r="AD34" s="492">
        <v>167</v>
      </c>
      <c r="AE34" s="492">
        <v>713</v>
      </c>
      <c r="AF34" s="492">
        <v>1073</v>
      </c>
      <c r="AG34" s="492">
        <v>435</v>
      </c>
      <c r="AH34" s="492">
        <v>1337</v>
      </c>
      <c r="AI34" s="492">
        <v>284</v>
      </c>
      <c r="AJ34" s="493">
        <v>118</v>
      </c>
      <c r="AK34" s="492">
        <v>155</v>
      </c>
      <c r="AL34" s="494">
        <v>197</v>
      </c>
      <c r="AM34" s="492">
        <v>24</v>
      </c>
      <c r="AN34" s="492">
        <v>343.75</v>
      </c>
      <c r="AO34" s="492">
        <v>1243</v>
      </c>
      <c r="AP34" s="492">
        <v>209.8</v>
      </c>
      <c r="AQ34" s="773">
        <v>322.10000000000002</v>
      </c>
      <c r="AR34" s="948">
        <v>667.5</v>
      </c>
      <c r="AS34" s="957">
        <v>302</v>
      </c>
      <c r="AT34" s="1276">
        <v>168.86</v>
      </c>
      <c r="AU34" s="1276">
        <v>302</v>
      </c>
      <c r="AV34" s="1377">
        <v>148.33333333333334</v>
      </c>
      <c r="AW34" s="1377">
        <v>248</v>
      </c>
      <c r="AX34" s="1377">
        <v>1650</v>
      </c>
      <c r="AY34" s="1377">
        <v>3</v>
      </c>
      <c r="AZ34" s="496" t="e">
        <f>フェロモントラップ野帳!$E$180</f>
        <v>#N/A</v>
      </c>
    </row>
    <row r="35" spans="1:52" ht="13.5" customHeight="1">
      <c r="A35" s="403"/>
      <c r="B35" s="408"/>
      <c r="C35" s="461" t="s">
        <v>193</v>
      </c>
      <c r="D35" s="1603" t="e">
        <f t="shared" ca="1" si="3"/>
        <v>#N/A</v>
      </c>
      <c r="E35" s="779">
        <f t="shared" ca="1" si="4"/>
        <v>259.64033333333333</v>
      </c>
      <c r="F35" s="464"/>
      <c r="G35" s="464"/>
      <c r="H35" s="465">
        <f t="shared" ca="1" si="5"/>
        <v>230.46666666666664</v>
      </c>
      <c r="I35" s="483"/>
      <c r="J35" s="444"/>
      <c r="K35" s="490"/>
      <c r="L35" s="491" t="s">
        <v>303</v>
      </c>
      <c r="M35" s="466">
        <v>858</v>
      </c>
      <c r="N35" s="467">
        <v>1656</v>
      </c>
      <c r="O35" s="467">
        <v>2380</v>
      </c>
      <c r="P35" s="467">
        <v>1022</v>
      </c>
      <c r="Q35" s="467">
        <v>1832</v>
      </c>
      <c r="R35" s="467">
        <v>2034</v>
      </c>
      <c r="S35" s="467">
        <v>521</v>
      </c>
      <c r="T35" s="467">
        <v>80</v>
      </c>
      <c r="U35" s="467">
        <v>293</v>
      </c>
      <c r="V35" s="467">
        <v>976</v>
      </c>
      <c r="W35" s="467">
        <v>198</v>
      </c>
      <c r="X35" s="467">
        <v>70</v>
      </c>
      <c r="Y35" s="467">
        <v>45</v>
      </c>
      <c r="Z35" s="467">
        <v>178</v>
      </c>
      <c r="AA35" s="492">
        <v>181</v>
      </c>
      <c r="AB35" s="492">
        <v>248</v>
      </c>
      <c r="AC35" s="492">
        <v>1352</v>
      </c>
      <c r="AD35" s="492">
        <v>108</v>
      </c>
      <c r="AE35" s="492">
        <v>891</v>
      </c>
      <c r="AF35" s="492">
        <v>1532</v>
      </c>
      <c r="AG35" s="492">
        <v>1219</v>
      </c>
      <c r="AH35" s="492">
        <v>1203</v>
      </c>
      <c r="AI35" s="492">
        <v>770</v>
      </c>
      <c r="AJ35" s="493">
        <v>74</v>
      </c>
      <c r="AK35" s="492">
        <v>393</v>
      </c>
      <c r="AL35" s="494">
        <v>212</v>
      </c>
      <c r="AM35" s="492">
        <v>109</v>
      </c>
      <c r="AN35" s="492">
        <v>275</v>
      </c>
      <c r="AO35" s="492">
        <v>537</v>
      </c>
      <c r="AP35" s="492">
        <v>114.2</v>
      </c>
      <c r="AQ35" s="773">
        <v>446.9</v>
      </c>
      <c r="AR35" s="948">
        <v>277.3</v>
      </c>
      <c r="AS35" s="957">
        <v>241.67</v>
      </c>
      <c r="AT35" s="1276">
        <v>364</v>
      </c>
      <c r="AU35" s="1276">
        <v>210</v>
      </c>
      <c r="AV35" s="1377">
        <v>255.66666666666666</v>
      </c>
      <c r="AW35" s="1377">
        <v>122</v>
      </c>
      <c r="AX35" s="1377">
        <v>563</v>
      </c>
      <c r="AY35" s="1377">
        <v>1.6666666666666665</v>
      </c>
      <c r="AZ35" s="496" t="e">
        <f>フェロモントラップ野帳!$E$185</f>
        <v>#N/A</v>
      </c>
    </row>
    <row r="36" spans="1:52" ht="13.5" customHeight="1">
      <c r="A36" s="403"/>
      <c r="B36" s="408"/>
      <c r="C36" s="461" t="s">
        <v>194</v>
      </c>
      <c r="D36" s="1603" t="e">
        <f t="shared" ca="1" si="3"/>
        <v>#N/A</v>
      </c>
      <c r="E36" s="779">
        <f t="shared" ca="1" si="4"/>
        <v>153.33633333333333</v>
      </c>
      <c r="F36" s="464"/>
      <c r="G36" s="464"/>
      <c r="H36" s="465">
        <f t="shared" ca="1" si="5"/>
        <v>71.066666666666663</v>
      </c>
      <c r="I36" s="483"/>
      <c r="J36" s="444"/>
      <c r="K36" s="490"/>
      <c r="L36" s="491" t="s">
        <v>304</v>
      </c>
      <c r="M36" s="466">
        <v>415</v>
      </c>
      <c r="N36" s="467">
        <v>1590</v>
      </c>
      <c r="O36" s="467">
        <v>1542</v>
      </c>
      <c r="P36" s="467">
        <v>291</v>
      </c>
      <c r="Q36" s="467">
        <v>149</v>
      </c>
      <c r="R36" s="467">
        <v>245</v>
      </c>
      <c r="S36" s="467">
        <v>488</v>
      </c>
      <c r="T36" s="467">
        <v>62</v>
      </c>
      <c r="U36" s="467">
        <v>109</v>
      </c>
      <c r="V36" s="467">
        <v>324</v>
      </c>
      <c r="W36" s="467">
        <v>145</v>
      </c>
      <c r="X36" s="467">
        <v>50</v>
      </c>
      <c r="Y36" s="467">
        <v>31</v>
      </c>
      <c r="Z36" s="467">
        <v>45</v>
      </c>
      <c r="AA36" s="492">
        <v>30</v>
      </c>
      <c r="AB36" s="492">
        <v>157</v>
      </c>
      <c r="AC36" s="492">
        <v>868</v>
      </c>
      <c r="AD36" s="492">
        <v>63</v>
      </c>
      <c r="AE36" s="492">
        <v>366</v>
      </c>
      <c r="AF36" s="492">
        <v>646</v>
      </c>
      <c r="AG36" s="492">
        <v>1255</v>
      </c>
      <c r="AH36" s="492">
        <v>402</v>
      </c>
      <c r="AI36" s="492">
        <v>629</v>
      </c>
      <c r="AJ36" s="493">
        <v>17</v>
      </c>
      <c r="AK36" s="492">
        <v>58</v>
      </c>
      <c r="AL36" s="494">
        <v>125</v>
      </c>
      <c r="AM36" s="492">
        <v>78</v>
      </c>
      <c r="AN36" s="492">
        <v>185</v>
      </c>
      <c r="AO36" s="492">
        <v>324.3</v>
      </c>
      <c r="AP36" s="492">
        <v>125</v>
      </c>
      <c r="AQ36" s="773">
        <v>610</v>
      </c>
      <c r="AR36" s="948">
        <v>39.200000000000003</v>
      </c>
      <c r="AS36" s="957">
        <v>321.33</v>
      </c>
      <c r="AT36" s="1276">
        <v>82.5</v>
      </c>
      <c r="AU36" s="1276">
        <v>143</v>
      </c>
      <c r="AV36" s="1377">
        <v>158</v>
      </c>
      <c r="AW36" s="1377">
        <v>13</v>
      </c>
      <c r="AX36" s="1377">
        <v>41</v>
      </c>
      <c r="AY36" s="1377">
        <v>0.33333333333333331</v>
      </c>
      <c r="AZ36" s="496" t="e">
        <f>フェロモントラップ野帳!$E$190</f>
        <v>#N/A</v>
      </c>
    </row>
    <row r="37" spans="1:52" ht="13.5" customHeight="1" thickBot="1">
      <c r="A37" s="403"/>
      <c r="B37" s="472"/>
      <c r="C37" s="448" t="s">
        <v>195</v>
      </c>
      <c r="D37" s="1290" t="e">
        <f t="shared" ca="1" si="3"/>
        <v>#N/A</v>
      </c>
      <c r="E37" s="1608">
        <f t="shared" ca="1" si="4"/>
        <v>132.87899999999999</v>
      </c>
      <c r="F37" s="475"/>
      <c r="G37" s="475"/>
      <c r="H37" s="476">
        <f t="shared" ca="1" si="5"/>
        <v>74.858000000000004</v>
      </c>
      <c r="I37" s="507"/>
      <c r="J37" s="444"/>
      <c r="K37" s="508"/>
      <c r="L37" s="509" t="s">
        <v>305</v>
      </c>
      <c r="M37" s="530">
        <v>288</v>
      </c>
      <c r="N37" s="531">
        <v>3472</v>
      </c>
      <c r="O37" s="531">
        <v>96</v>
      </c>
      <c r="P37" s="531">
        <v>198</v>
      </c>
      <c r="Q37" s="531">
        <v>74</v>
      </c>
      <c r="R37" s="531">
        <v>76</v>
      </c>
      <c r="S37" s="531">
        <v>618</v>
      </c>
      <c r="T37" s="531">
        <v>55</v>
      </c>
      <c r="U37" s="531">
        <v>217</v>
      </c>
      <c r="V37" s="531">
        <v>399</v>
      </c>
      <c r="W37" s="531">
        <v>109</v>
      </c>
      <c r="X37" s="531">
        <v>112</v>
      </c>
      <c r="Y37" s="531">
        <v>30</v>
      </c>
      <c r="Z37" s="531">
        <v>53</v>
      </c>
      <c r="AA37" s="500">
        <v>28</v>
      </c>
      <c r="AB37" s="500">
        <v>938</v>
      </c>
      <c r="AC37" s="500">
        <v>394</v>
      </c>
      <c r="AD37" s="500">
        <v>178</v>
      </c>
      <c r="AE37" s="500">
        <v>65</v>
      </c>
      <c r="AF37" s="500">
        <v>473</v>
      </c>
      <c r="AG37" s="500">
        <v>103</v>
      </c>
      <c r="AH37" s="500">
        <v>63</v>
      </c>
      <c r="AI37" s="500">
        <v>232</v>
      </c>
      <c r="AJ37" s="501">
        <v>20</v>
      </c>
      <c r="AK37" s="500">
        <v>10</v>
      </c>
      <c r="AL37" s="502">
        <v>45</v>
      </c>
      <c r="AM37" s="500">
        <v>20.8</v>
      </c>
      <c r="AN37" s="500">
        <v>70.83</v>
      </c>
      <c r="AO37" s="500">
        <v>237.7</v>
      </c>
      <c r="AP37" s="500">
        <v>153</v>
      </c>
      <c r="AQ37" s="868">
        <v>549.5</v>
      </c>
      <c r="AR37" s="949">
        <v>37.5</v>
      </c>
      <c r="AS37" s="958">
        <v>108</v>
      </c>
      <c r="AT37" s="805">
        <v>106.5</v>
      </c>
      <c r="AU37" s="805">
        <v>94.29</v>
      </c>
      <c r="AV37" s="1378">
        <v>218</v>
      </c>
      <c r="AW37" s="1378">
        <v>37</v>
      </c>
      <c r="AX37" s="1378">
        <v>25</v>
      </c>
      <c r="AY37" s="1378">
        <v>0</v>
      </c>
      <c r="AZ37" s="504" t="e">
        <f>フェロモントラップ野帳!$E$196</f>
        <v>#N/A</v>
      </c>
    </row>
    <row r="38" spans="1:52" ht="13.5" customHeight="1">
      <c r="A38" s="403"/>
      <c r="B38" s="408"/>
      <c r="C38" s="529" t="s">
        <v>189</v>
      </c>
      <c r="D38" s="1603" t="e">
        <f t="shared" ca="1" si="3"/>
        <v>#N/A</v>
      </c>
      <c r="E38" s="779">
        <f t="shared" ca="1" si="4"/>
        <v>172.47242857142857</v>
      </c>
      <c r="F38" s="453"/>
      <c r="G38" s="453"/>
      <c r="H38" s="454">
        <f t="shared" ca="1" si="5"/>
        <v>224.28485714285716</v>
      </c>
      <c r="I38" s="483"/>
      <c r="J38" s="444"/>
      <c r="K38" s="490"/>
      <c r="L38" s="484" t="s">
        <v>300</v>
      </c>
      <c r="M38" s="456">
        <v>227</v>
      </c>
      <c r="N38" s="457">
        <v>73</v>
      </c>
      <c r="O38" s="457">
        <v>1210</v>
      </c>
      <c r="P38" s="457">
        <v>287</v>
      </c>
      <c r="Q38" s="457">
        <v>170</v>
      </c>
      <c r="R38" s="457">
        <v>36</v>
      </c>
      <c r="S38" s="457">
        <v>721</v>
      </c>
      <c r="T38" s="457">
        <v>31</v>
      </c>
      <c r="U38" s="457">
        <v>127</v>
      </c>
      <c r="V38" s="457">
        <v>10</v>
      </c>
      <c r="W38" s="457">
        <v>283</v>
      </c>
      <c r="X38" s="457">
        <v>62</v>
      </c>
      <c r="Y38" s="457">
        <v>54</v>
      </c>
      <c r="Z38" s="457">
        <v>12</v>
      </c>
      <c r="AA38" s="485">
        <v>44</v>
      </c>
      <c r="AB38" s="485">
        <v>1565</v>
      </c>
      <c r="AC38" s="485">
        <v>321</v>
      </c>
      <c r="AD38" s="485">
        <v>524</v>
      </c>
      <c r="AE38" s="485">
        <v>31</v>
      </c>
      <c r="AF38" s="485">
        <v>50</v>
      </c>
      <c r="AG38" s="485">
        <v>106</v>
      </c>
      <c r="AH38" s="485">
        <v>38</v>
      </c>
      <c r="AI38" s="485">
        <v>89</v>
      </c>
      <c r="AJ38" s="486">
        <v>55</v>
      </c>
      <c r="AK38" s="485">
        <v>61</v>
      </c>
      <c r="AL38" s="487">
        <v>52</v>
      </c>
      <c r="AM38" s="485">
        <v>48</v>
      </c>
      <c r="AN38" s="485">
        <v>58</v>
      </c>
      <c r="AO38" s="485">
        <v>379.4</v>
      </c>
      <c r="AP38" s="485">
        <v>282</v>
      </c>
      <c r="AQ38" s="867">
        <v>208.3</v>
      </c>
      <c r="AR38" s="947">
        <v>4</v>
      </c>
      <c r="AS38" s="956">
        <v>45</v>
      </c>
      <c r="AT38" s="806">
        <v>64</v>
      </c>
      <c r="AU38" s="806">
        <v>251.71</v>
      </c>
      <c r="AV38" s="1376">
        <v>770.71428571428567</v>
      </c>
      <c r="AW38" s="1376">
        <v>94</v>
      </c>
      <c r="AX38" s="1376">
        <v>5</v>
      </c>
      <c r="AY38" s="1376">
        <v>0</v>
      </c>
      <c r="AZ38" s="489" t="e">
        <f>フェロモントラップ野帳!$E$210</f>
        <v>#N/A</v>
      </c>
    </row>
    <row r="39" spans="1:52" ht="13.5" customHeight="1">
      <c r="A39" s="403"/>
      <c r="B39" s="408"/>
      <c r="C39" s="461" t="s">
        <v>190</v>
      </c>
      <c r="D39" s="1603" t="e">
        <f t="shared" ca="1" si="3"/>
        <v>#N/A</v>
      </c>
      <c r="E39" s="779">
        <f t="shared" ca="1" si="4"/>
        <v>118.32047619047619</v>
      </c>
      <c r="F39" s="464"/>
      <c r="G39" s="464"/>
      <c r="H39" s="465">
        <f t="shared" ca="1" si="5"/>
        <v>197.4809523809524</v>
      </c>
      <c r="I39" s="483"/>
      <c r="J39" s="444"/>
      <c r="K39" s="490"/>
      <c r="L39" s="491" t="s">
        <v>301</v>
      </c>
      <c r="M39" s="466">
        <v>554</v>
      </c>
      <c r="N39" s="467">
        <v>537</v>
      </c>
      <c r="O39" s="467">
        <v>635</v>
      </c>
      <c r="P39" s="467">
        <v>445</v>
      </c>
      <c r="Q39" s="467">
        <v>361</v>
      </c>
      <c r="R39" s="467">
        <v>80</v>
      </c>
      <c r="S39" s="467">
        <v>217</v>
      </c>
      <c r="T39" s="467">
        <v>5</v>
      </c>
      <c r="U39" s="467">
        <v>35</v>
      </c>
      <c r="V39" s="467">
        <v>3</v>
      </c>
      <c r="W39" s="467">
        <v>758</v>
      </c>
      <c r="X39" s="467">
        <v>5</v>
      </c>
      <c r="Y39" s="467">
        <v>253</v>
      </c>
      <c r="Z39" s="467">
        <v>32</v>
      </c>
      <c r="AA39" s="492">
        <v>165</v>
      </c>
      <c r="AB39" s="492">
        <v>1895</v>
      </c>
      <c r="AC39" s="492">
        <v>889</v>
      </c>
      <c r="AD39" s="492">
        <v>1281</v>
      </c>
      <c r="AE39" s="492">
        <v>66</v>
      </c>
      <c r="AF39" s="492">
        <v>152</v>
      </c>
      <c r="AG39" s="492">
        <v>110</v>
      </c>
      <c r="AH39" s="492">
        <v>39</v>
      </c>
      <c r="AI39" s="492">
        <v>618</v>
      </c>
      <c r="AJ39" s="493">
        <v>75</v>
      </c>
      <c r="AK39" s="492">
        <v>155</v>
      </c>
      <c r="AL39" s="494">
        <v>42</v>
      </c>
      <c r="AM39" s="492">
        <v>25</v>
      </c>
      <c r="AN39" s="492">
        <v>27.5</v>
      </c>
      <c r="AO39" s="492">
        <v>339.6</v>
      </c>
      <c r="AP39" s="492">
        <v>55.8</v>
      </c>
      <c r="AQ39" s="773">
        <v>126.5</v>
      </c>
      <c r="AR39" s="948">
        <v>5.5</v>
      </c>
      <c r="AS39" s="957">
        <v>0</v>
      </c>
      <c r="AT39" s="1276">
        <v>8</v>
      </c>
      <c r="AU39" s="1276">
        <v>372</v>
      </c>
      <c r="AV39" s="1377">
        <v>588.28571428571433</v>
      </c>
      <c r="AW39" s="1377">
        <v>17</v>
      </c>
      <c r="AX39" s="1377">
        <v>9.2857142857142865</v>
      </c>
      <c r="AY39" s="1377">
        <v>0.83333333333333326</v>
      </c>
      <c r="AZ39" s="496" t="e">
        <f>フェロモントラップ野帳!$E$215</f>
        <v>#N/A</v>
      </c>
    </row>
    <row r="40" spans="1:52" ht="13.5" customHeight="1">
      <c r="A40" s="403"/>
      <c r="B40" s="408" t="s">
        <v>201</v>
      </c>
      <c r="C40" s="461" t="s">
        <v>192</v>
      </c>
      <c r="D40" s="1603" t="e">
        <f t="shared" ref="D40:D61" ca="1" si="6">IF(ISBLANK($D$6),-20,OFFSET($M40,0,$D$6-1987,1,1))</f>
        <v>#N/A</v>
      </c>
      <c r="E40" s="779">
        <f t="shared" ca="1" si="4"/>
        <v>63.806666666666658</v>
      </c>
      <c r="F40" s="464"/>
      <c r="G40" s="464"/>
      <c r="H40" s="465">
        <f t="shared" ref="H40:H61" ca="1" si="7">IF(OR(ISBLANK($F$6),ISBLANK($H$6)),-20,AVERAGE(OFFSET($M40,0,$F$6-1987,1,$H$6-$F$6+1)))</f>
        <v>98.433333333333337</v>
      </c>
      <c r="I40" s="483"/>
      <c r="J40" s="444"/>
      <c r="K40" s="490" t="s">
        <v>290</v>
      </c>
      <c r="L40" s="491" t="s">
        <v>302</v>
      </c>
      <c r="M40" s="466">
        <v>889</v>
      </c>
      <c r="N40" s="467">
        <v>820</v>
      </c>
      <c r="O40" s="467">
        <v>2906</v>
      </c>
      <c r="P40" s="467">
        <v>1862</v>
      </c>
      <c r="Q40" s="467">
        <v>318</v>
      </c>
      <c r="R40" s="467">
        <v>156</v>
      </c>
      <c r="S40" s="467">
        <v>361</v>
      </c>
      <c r="T40" s="467">
        <v>0</v>
      </c>
      <c r="U40" s="467">
        <v>104</v>
      </c>
      <c r="V40" s="467">
        <v>19</v>
      </c>
      <c r="W40" s="467">
        <v>616</v>
      </c>
      <c r="X40" s="467">
        <v>19</v>
      </c>
      <c r="Y40" s="467">
        <v>450</v>
      </c>
      <c r="Z40" s="467">
        <v>388</v>
      </c>
      <c r="AA40" s="492">
        <v>161</v>
      </c>
      <c r="AB40" s="492">
        <v>1184</v>
      </c>
      <c r="AC40" s="492">
        <v>1700</v>
      </c>
      <c r="AD40" s="492">
        <v>606</v>
      </c>
      <c r="AE40" s="492">
        <v>48</v>
      </c>
      <c r="AF40" s="492">
        <v>431</v>
      </c>
      <c r="AG40" s="492">
        <v>57</v>
      </c>
      <c r="AH40" s="492">
        <v>36</v>
      </c>
      <c r="AI40" s="492">
        <v>770</v>
      </c>
      <c r="AJ40" s="493">
        <v>62</v>
      </c>
      <c r="AK40" s="492">
        <v>112</v>
      </c>
      <c r="AL40" s="494">
        <v>110</v>
      </c>
      <c r="AM40" s="492">
        <v>24</v>
      </c>
      <c r="AN40" s="492">
        <v>50</v>
      </c>
      <c r="AO40" s="492">
        <v>55.7</v>
      </c>
      <c r="AP40" s="492">
        <v>104.2</v>
      </c>
      <c r="AQ40" s="773">
        <v>29.2</v>
      </c>
      <c r="AR40" s="948">
        <v>2.5</v>
      </c>
      <c r="AS40" s="957">
        <v>0</v>
      </c>
      <c r="AT40" s="1276">
        <v>10</v>
      </c>
      <c r="AU40" s="1276">
        <v>366</v>
      </c>
      <c r="AV40" s="1377">
        <v>111</v>
      </c>
      <c r="AW40" s="1377">
        <v>13.75</v>
      </c>
      <c r="AX40" s="1377">
        <v>1.25</v>
      </c>
      <c r="AY40" s="1377">
        <v>0.16666666666666666</v>
      </c>
      <c r="AZ40" s="496" t="e">
        <f>フェロモントラップ野帳!$E$220</f>
        <v>#N/A</v>
      </c>
    </row>
    <row r="41" spans="1:52" ht="13.5" customHeight="1">
      <c r="A41" s="403"/>
      <c r="B41" s="408"/>
      <c r="C41" s="461" t="s">
        <v>193</v>
      </c>
      <c r="D41" s="1605" t="e">
        <f t="shared" ca="1" si="6"/>
        <v>#N/A</v>
      </c>
      <c r="E41" s="779">
        <f t="shared" ca="1" si="4"/>
        <v>49.413333333333334</v>
      </c>
      <c r="F41" s="464"/>
      <c r="G41" s="464"/>
      <c r="H41" s="465">
        <f t="shared" ca="1" si="7"/>
        <v>48.06666666666667</v>
      </c>
      <c r="I41" s="483"/>
      <c r="J41" s="444"/>
      <c r="K41" s="490"/>
      <c r="L41" s="491" t="s">
        <v>303</v>
      </c>
      <c r="M41" s="466">
        <v>1395</v>
      </c>
      <c r="N41" s="467">
        <v>1707</v>
      </c>
      <c r="O41" s="467">
        <v>743</v>
      </c>
      <c r="P41" s="467">
        <v>880</v>
      </c>
      <c r="Q41" s="467">
        <v>187</v>
      </c>
      <c r="R41" s="467">
        <v>74</v>
      </c>
      <c r="S41" s="467">
        <v>901</v>
      </c>
      <c r="T41" s="467">
        <v>2</v>
      </c>
      <c r="U41" s="467">
        <v>133</v>
      </c>
      <c r="V41" s="467">
        <v>56</v>
      </c>
      <c r="W41" s="467">
        <v>106</v>
      </c>
      <c r="X41" s="467">
        <v>46</v>
      </c>
      <c r="Y41" s="467">
        <v>155</v>
      </c>
      <c r="Z41" s="467">
        <v>160</v>
      </c>
      <c r="AA41" s="492">
        <v>91</v>
      </c>
      <c r="AB41" s="492">
        <v>512</v>
      </c>
      <c r="AC41" s="492">
        <v>1304</v>
      </c>
      <c r="AD41" s="492">
        <v>379</v>
      </c>
      <c r="AE41" s="492">
        <v>445</v>
      </c>
      <c r="AF41" s="492">
        <v>155</v>
      </c>
      <c r="AG41" s="492">
        <v>174</v>
      </c>
      <c r="AH41" s="492">
        <v>44</v>
      </c>
      <c r="AI41" s="492">
        <v>1147</v>
      </c>
      <c r="AJ41" s="493">
        <v>26</v>
      </c>
      <c r="AK41" s="492">
        <v>44</v>
      </c>
      <c r="AL41" s="494">
        <v>266</v>
      </c>
      <c r="AM41" s="492">
        <v>5</v>
      </c>
      <c r="AN41" s="492">
        <v>7</v>
      </c>
      <c r="AO41" s="492">
        <v>43.3</v>
      </c>
      <c r="AP41" s="492">
        <v>55.8</v>
      </c>
      <c r="AQ41" s="773">
        <v>113</v>
      </c>
      <c r="AR41" s="948">
        <v>0</v>
      </c>
      <c r="AS41" s="957">
        <v>15</v>
      </c>
      <c r="AT41" s="1276">
        <v>70</v>
      </c>
      <c r="AU41" s="1276">
        <v>160</v>
      </c>
      <c r="AV41" s="1377">
        <v>39.166666666666664</v>
      </c>
      <c r="AW41" s="1377">
        <v>35</v>
      </c>
      <c r="AX41" s="1377">
        <v>5.8333333333333339</v>
      </c>
      <c r="AY41" s="1377">
        <v>0.33333333333333331</v>
      </c>
      <c r="AZ41" s="496" t="e">
        <f>フェロモントラップ野帳!$E$225</f>
        <v>#N/A</v>
      </c>
    </row>
    <row r="42" spans="1:52" ht="13.5" customHeight="1">
      <c r="A42" s="403"/>
      <c r="B42" s="408"/>
      <c r="C42" s="461" t="s">
        <v>194</v>
      </c>
      <c r="D42" s="1603" t="e">
        <f t="shared" ca="1" si="6"/>
        <v>#N/A</v>
      </c>
      <c r="E42" s="779">
        <f t="shared" ca="1" si="4"/>
        <v>187.80033333333333</v>
      </c>
      <c r="F42" s="464"/>
      <c r="G42" s="464"/>
      <c r="H42" s="465">
        <f t="shared" ca="1" si="7"/>
        <v>64.966666666666669</v>
      </c>
      <c r="I42" s="483"/>
      <c r="J42" s="444"/>
      <c r="K42" s="490"/>
      <c r="L42" s="491" t="s">
        <v>304</v>
      </c>
      <c r="M42" s="466">
        <v>1006</v>
      </c>
      <c r="N42" s="467">
        <v>3088</v>
      </c>
      <c r="O42" s="467">
        <v>642</v>
      </c>
      <c r="P42" s="467">
        <v>223</v>
      </c>
      <c r="Q42" s="467">
        <v>333</v>
      </c>
      <c r="R42" s="467">
        <v>451</v>
      </c>
      <c r="S42" s="467">
        <v>2639</v>
      </c>
      <c r="T42" s="467">
        <v>0</v>
      </c>
      <c r="U42" s="467">
        <v>22</v>
      </c>
      <c r="V42" s="467">
        <v>373</v>
      </c>
      <c r="W42" s="467">
        <v>108</v>
      </c>
      <c r="X42" s="467">
        <v>138</v>
      </c>
      <c r="Y42" s="467">
        <v>36</v>
      </c>
      <c r="Z42" s="467">
        <v>166</v>
      </c>
      <c r="AA42" s="492">
        <v>45</v>
      </c>
      <c r="AB42" s="492">
        <v>279</v>
      </c>
      <c r="AC42" s="492">
        <v>213</v>
      </c>
      <c r="AD42" s="492">
        <v>217</v>
      </c>
      <c r="AE42" s="492">
        <v>574</v>
      </c>
      <c r="AF42" s="492">
        <v>645</v>
      </c>
      <c r="AG42" s="492">
        <v>264</v>
      </c>
      <c r="AH42" s="492">
        <v>69</v>
      </c>
      <c r="AI42" s="492">
        <v>883</v>
      </c>
      <c r="AJ42" s="493">
        <v>14</v>
      </c>
      <c r="AK42" s="492">
        <v>44</v>
      </c>
      <c r="AL42" s="494">
        <v>82</v>
      </c>
      <c r="AM42" s="492">
        <v>20</v>
      </c>
      <c r="AN42" s="492">
        <v>15</v>
      </c>
      <c r="AO42" s="492">
        <v>31.8</v>
      </c>
      <c r="AP42" s="492">
        <v>41.2</v>
      </c>
      <c r="AQ42" s="773">
        <v>905.4</v>
      </c>
      <c r="AR42" s="948">
        <v>10.4</v>
      </c>
      <c r="AS42" s="957">
        <v>54.17</v>
      </c>
      <c r="AT42" s="1276">
        <v>542</v>
      </c>
      <c r="AU42" s="1276">
        <v>173</v>
      </c>
      <c r="AV42" s="1377">
        <v>141.83333333333334</v>
      </c>
      <c r="AW42" s="1377">
        <v>9.1666666666666661</v>
      </c>
      <c r="AX42" s="1377">
        <v>0</v>
      </c>
      <c r="AY42" s="1377">
        <v>0.83333333333333326</v>
      </c>
      <c r="AZ42" s="496" t="e">
        <f>フェロモントラップ野帳!$E$230</f>
        <v>#N/A</v>
      </c>
    </row>
    <row r="43" spans="1:52" ht="13.5" customHeight="1" thickBot="1">
      <c r="A43" s="403"/>
      <c r="B43" s="408"/>
      <c r="C43" s="448" t="s">
        <v>195</v>
      </c>
      <c r="D43" s="1290" t="e">
        <f t="shared" ca="1" si="6"/>
        <v>#N/A</v>
      </c>
      <c r="E43" s="1607">
        <f t="shared" ca="1" si="4"/>
        <v>225.14966666666663</v>
      </c>
      <c r="F43" s="475"/>
      <c r="G43" s="475"/>
      <c r="H43" s="476">
        <f t="shared" ca="1" si="7"/>
        <v>180.63333333333333</v>
      </c>
      <c r="I43" s="507"/>
      <c r="J43" s="444"/>
      <c r="K43" s="490"/>
      <c r="L43" s="509" t="s">
        <v>305</v>
      </c>
      <c r="M43" s="477">
        <v>838</v>
      </c>
      <c r="N43" s="478">
        <v>328</v>
      </c>
      <c r="O43" s="478">
        <v>262</v>
      </c>
      <c r="P43" s="478">
        <v>178</v>
      </c>
      <c r="Q43" s="478">
        <v>353</v>
      </c>
      <c r="R43" s="478">
        <v>364</v>
      </c>
      <c r="S43" s="478">
        <v>2566</v>
      </c>
      <c r="T43" s="478">
        <v>9</v>
      </c>
      <c r="U43" s="478">
        <v>11</v>
      </c>
      <c r="V43" s="478">
        <v>267</v>
      </c>
      <c r="W43" s="478">
        <v>447</v>
      </c>
      <c r="X43" s="478">
        <v>559</v>
      </c>
      <c r="Y43" s="478">
        <v>62</v>
      </c>
      <c r="Z43" s="478">
        <v>346</v>
      </c>
      <c r="AA43" s="510">
        <v>38</v>
      </c>
      <c r="AB43" s="510">
        <v>192</v>
      </c>
      <c r="AC43" s="510">
        <v>449</v>
      </c>
      <c r="AD43" s="510">
        <v>633</v>
      </c>
      <c r="AE43" s="510">
        <v>569</v>
      </c>
      <c r="AF43" s="510">
        <v>860</v>
      </c>
      <c r="AG43" s="510">
        <v>99</v>
      </c>
      <c r="AH43" s="510">
        <v>106</v>
      </c>
      <c r="AI43" s="510">
        <v>309</v>
      </c>
      <c r="AJ43" s="511">
        <v>23</v>
      </c>
      <c r="AK43" s="510">
        <v>7</v>
      </c>
      <c r="AL43" s="512">
        <f>29*5/6</f>
        <v>24.166666666666668</v>
      </c>
      <c r="AM43" s="510">
        <v>10.8</v>
      </c>
      <c r="AN43" s="510">
        <v>41.43</v>
      </c>
      <c r="AO43" s="510">
        <v>79.17</v>
      </c>
      <c r="AP43" s="510">
        <v>106</v>
      </c>
      <c r="AQ43" s="869">
        <v>874.1</v>
      </c>
      <c r="AR43" s="950">
        <v>40.4</v>
      </c>
      <c r="AS43" s="959">
        <v>65.83</v>
      </c>
      <c r="AT43" s="807">
        <v>262</v>
      </c>
      <c r="AU43" s="807">
        <v>126</v>
      </c>
      <c r="AV43" s="1379">
        <v>583</v>
      </c>
      <c r="AW43" s="1379">
        <v>174</v>
      </c>
      <c r="AX43" s="1379">
        <v>19.166666666666668</v>
      </c>
      <c r="AY43" s="1379">
        <v>1</v>
      </c>
      <c r="AZ43" s="514" t="e">
        <f>フェロモントラップ野帳!$E$236</f>
        <v>#N/A</v>
      </c>
    </row>
    <row r="44" spans="1:52" ht="13.5" customHeight="1">
      <c r="A44" s="403"/>
      <c r="B44" s="407"/>
      <c r="C44" s="529" t="s">
        <v>189</v>
      </c>
      <c r="D44" s="1603" t="e">
        <f t="shared" ca="1" si="6"/>
        <v>#N/A</v>
      </c>
      <c r="E44" s="1606">
        <f t="shared" ca="1" si="4"/>
        <v>274.4360476190476</v>
      </c>
      <c r="F44" s="453"/>
      <c r="G44" s="453"/>
      <c r="H44" s="454">
        <f t="shared" ca="1" si="7"/>
        <v>364.73809523809524</v>
      </c>
      <c r="I44" s="483"/>
      <c r="J44" s="444"/>
      <c r="K44" s="434"/>
      <c r="L44" s="484" t="s">
        <v>300</v>
      </c>
      <c r="M44" s="516">
        <v>612</v>
      </c>
      <c r="N44" s="517">
        <v>389</v>
      </c>
      <c r="O44" s="517">
        <v>327</v>
      </c>
      <c r="P44" s="517">
        <v>256</v>
      </c>
      <c r="Q44" s="517">
        <v>303</v>
      </c>
      <c r="R44" s="517">
        <v>382</v>
      </c>
      <c r="S44" s="517">
        <v>1687</v>
      </c>
      <c r="T44" s="517">
        <v>13</v>
      </c>
      <c r="U44" s="517">
        <v>50</v>
      </c>
      <c r="V44" s="517">
        <v>78</v>
      </c>
      <c r="W44" s="517">
        <v>1066</v>
      </c>
      <c r="X44" s="517">
        <v>313</v>
      </c>
      <c r="Y44" s="517">
        <v>152</v>
      </c>
      <c r="Z44" s="517">
        <v>179</v>
      </c>
      <c r="AA44" s="518">
        <v>103</v>
      </c>
      <c r="AB44" s="518">
        <v>147</v>
      </c>
      <c r="AC44" s="518">
        <v>1104</v>
      </c>
      <c r="AD44" s="518">
        <v>197</v>
      </c>
      <c r="AE44" s="518">
        <v>297</v>
      </c>
      <c r="AF44" s="518">
        <v>502</v>
      </c>
      <c r="AG44" s="518">
        <v>224</v>
      </c>
      <c r="AH44" s="518">
        <v>131</v>
      </c>
      <c r="AI44" s="518">
        <v>254</v>
      </c>
      <c r="AJ44" s="519">
        <v>44</v>
      </c>
      <c r="AK44" s="518">
        <v>20</v>
      </c>
      <c r="AL44" s="520">
        <v>33</v>
      </c>
      <c r="AM44" s="518">
        <v>3</v>
      </c>
      <c r="AN44" s="518">
        <v>41.29</v>
      </c>
      <c r="AO44" s="518">
        <v>127.1</v>
      </c>
      <c r="AP44" s="518">
        <v>362</v>
      </c>
      <c r="AQ44" s="870">
        <v>278.5</v>
      </c>
      <c r="AR44" s="951">
        <v>49</v>
      </c>
      <c r="AS44" s="960">
        <v>127</v>
      </c>
      <c r="AT44" s="1324">
        <v>104.17</v>
      </c>
      <c r="AU44" s="1324">
        <v>352</v>
      </c>
      <c r="AV44" s="1380">
        <v>1239</v>
      </c>
      <c r="AW44" s="1380">
        <v>110.83333333333334</v>
      </c>
      <c r="AX44" s="1380">
        <v>119</v>
      </c>
      <c r="AY44" s="1380">
        <v>2.8571428571428568</v>
      </c>
      <c r="AZ44" s="522" t="e">
        <f>フェロモントラップ野帳!$E$250</f>
        <v>#N/A</v>
      </c>
    </row>
    <row r="45" spans="1:52" ht="13.5" customHeight="1">
      <c r="A45" s="403"/>
      <c r="B45" s="408"/>
      <c r="C45" s="461" t="s">
        <v>190</v>
      </c>
      <c r="D45" s="1603" t="e">
        <f t="shared" ca="1" si="6"/>
        <v>#N/A</v>
      </c>
      <c r="E45" s="779">
        <f t="shared" ca="1" si="4"/>
        <v>396.76395238095245</v>
      </c>
      <c r="F45" s="464"/>
      <c r="G45" s="464"/>
      <c r="H45" s="465">
        <f t="shared" ca="1" si="7"/>
        <v>615.46190476190486</v>
      </c>
      <c r="I45" s="483"/>
      <c r="J45" s="444"/>
      <c r="K45" s="490"/>
      <c r="L45" s="491" t="s">
        <v>301</v>
      </c>
      <c r="M45" s="466">
        <v>898</v>
      </c>
      <c r="N45" s="467">
        <v>781</v>
      </c>
      <c r="O45" s="467">
        <v>1121</v>
      </c>
      <c r="P45" s="467">
        <v>888</v>
      </c>
      <c r="Q45" s="467">
        <v>237</v>
      </c>
      <c r="R45" s="467">
        <v>422</v>
      </c>
      <c r="S45" s="467">
        <v>307</v>
      </c>
      <c r="T45" s="467">
        <v>17</v>
      </c>
      <c r="U45" s="467">
        <v>88</v>
      </c>
      <c r="V45" s="467">
        <v>84</v>
      </c>
      <c r="W45" s="467">
        <v>1060</v>
      </c>
      <c r="X45" s="467">
        <v>162</v>
      </c>
      <c r="Y45" s="467">
        <v>2</v>
      </c>
      <c r="Z45" s="467">
        <v>133</v>
      </c>
      <c r="AA45" s="492">
        <v>873</v>
      </c>
      <c r="AB45" s="492">
        <v>68</v>
      </c>
      <c r="AC45" s="492">
        <v>1417</v>
      </c>
      <c r="AD45" s="492">
        <v>656</v>
      </c>
      <c r="AE45" s="492">
        <v>156</v>
      </c>
      <c r="AF45" s="492">
        <v>229</v>
      </c>
      <c r="AG45" s="492">
        <v>112</v>
      </c>
      <c r="AH45" s="492">
        <v>65</v>
      </c>
      <c r="AI45" s="492">
        <v>263</v>
      </c>
      <c r="AJ45" s="493">
        <v>45</v>
      </c>
      <c r="AK45" s="492">
        <v>231</v>
      </c>
      <c r="AL45" s="494">
        <v>21</v>
      </c>
      <c r="AM45" s="492">
        <v>7</v>
      </c>
      <c r="AN45" s="492">
        <v>25.83</v>
      </c>
      <c r="AO45" s="492">
        <v>115.9</v>
      </c>
      <c r="AP45" s="492">
        <v>105</v>
      </c>
      <c r="AQ45" s="773">
        <v>452.5</v>
      </c>
      <c r="AR45" s="948">
        <v>131</v>
      </c>
      <c r="AS45" s="957">
        <v>142</v>
      </c>
      <c r="AT45" s="1276">
        <v>59.83</v>
      </c>
      <c r="AU45" s="1276">
        <v>482</v>
      </c>
      <c r="AV45" s="1377">
        <v>2345.166666666667</v>
      </c>
      <c r="AW45" s="1377">
        <v>179</v>
      </c>
      <c r="AX45" s="1377">
        <v>66</v>
      </c>
      <c r="AY45" s="1377">
        <v>5.1428571428571423</v>
      </c>
      <c r="AZ45" s="496" t="e">
        <f>フェロモントラップ野帳!$E$255</f>
        <v>#N/A</v>
      </c>
    </row>
    <row r="46" spans="1:52" ht="13.5" customHeight="1">
      <c r="A46" s="403"/>
      <c r="B46" s="408" t="s">
        <v>202</v>
      </c>
      <c r="C46" s="461" t="s">
        <v>192</v>
      </c>
      <c r="D46" s="1603" t="e">
        <f t="shared" ca="1" si="6"/>
        <v>#N/A</v>
      </c>
      <c r="E46" s="779">
        <f t="shared" ca="1" si="4"/>
        <v>285.95033333333333</v>
      </c>
      <c r="F46" s="464"/>
      <c r="G46" s="464"/>
      <c r="H46" s="465">
        <f t="shared" ca="1" si="7"/>
        <v>459.16666666666663</v>
      </c>
      <c r="I46" s="483"/>
      <c r="J46" s="444"/>
      <c r="K46" s="490" t="s">
        <v>291</v>
      </c>
      <c r="L46" s="491" t="s">
        <v>302</v>
      </c>
      <c r="M46" s="466">
        <v>1086</v>
      </c>
      <c r="N46" s="467">
        <v>1847</v>
      </c>
      <c r="O46" s="467">
        <v>6309</v>
      </c>
      <c r="P46" s="467">
        <v>2170</v>
      </c>
      <c r="Q46" s="467">
        <v>779</v>
      </c>
      <c r="R46" s="467">
        <v>170</v>
      </c>
      <c r="S46" s="467">
        <v>897</v>
      </c>
      <c r="T46" s="467">
        <v>29</v>
      </c>
      <c r="U46" s="467">
        <v>19</v>
      </c>
      <c r="V46" s="467">
        <v>108</v>
      </c>
      <c r="W46" s="467">
        <v>733</v>
      </c>
      <c r="X46" s="467">
        <v>17</v>
      </c>
      <c r="Y46" s="467">
        <v>20</v>
      </c>
      <c r="Z46" s="467">
        <v>297</v>
      </c>
      <c r="AA46" s="492">
        <v>1541</v>
      </c>
      <c r="AB46" s="492">
        <v>70</v>
      </c>
      <c r="AC46" s="492">
        <v>2233</v>
      </c>
      <c r="AD46" s="492">
        <v>237</v>
      </c>
      <c r="AE46" s="492">
        <v>76</v>
      </c>
      <c r="AF46" s="492">
        <v>163</v>
      </c>
      <c r="AG46" s="492">
        <v>57</v>
      </c>
      <c r="AH46" s="492">
        <v>146</v>
      </c>
      <c r="AI46" s="492">
        <v>58</v>
      </c>
      <c r="AJ46" s="493">
        <v>35</v>
      </c>
      <c r="AK46" s="492">
        <v>338</v>
      </c>
      <c r="AL46" s="494">
        <v>160</v>
      </c>
      <c r="AM46" s="492">
        <v>10</v>
      </c>
      <c r="AN46" s="492">
        <v>10.77</v>
      </c>
      <c r="AO46" s="492">
        <v>67.900000000000006</v>
      </c>
      <c r="AP46" s="492">
        <v>111</v>
      </c>
      <c r="AQ46" s="773">
        <v>352.5</v>
      </c>
      <c r="AR46" s="948">
        <v>52</v>
      </c>
      <c r="AS46" s="957">
        <v>29.17</v>
      </c>
      <c r="AT46" s="1276">
        <v>19</v>
      </c>
      <c r="AU46" s="1276">
        <v>1201</v>
      </c>
      <c r="AV46" s="1377">
        <v>933.83333333333326</v>
      </c>
      <c r="AW46" s="1377">
        <v>46</v>
      </c>
      <c r="AX46" s="1377">
        <v>115</v>
      </c>
      <c r="AY46" s="1377">
        <v>0</v>
      </c>
      <c r="AZ46" s="496" t="e">
        <f>フェロモントラップ野帳!$E$260</f>
        <v>#N/A</v>
      </c>
    </row>
    <row r="47" spans="1:52" ht="13.5" customHeight="1">
      <c r="A47" s="403"/>
      <c r="B47" s="408"/>
      <c r="C47" s="461" t="s">
        <v>193</v>
      </c>
      <c r="D47" s="1603" t="e">
        <f t="shared" ca="1" si="6"/>
        <v>#N/A</v>
      </c>
      <c r="E47" s="779">
        <f t="shared" ca="1" si="4"/>
        <v>237.07000000000002</v>
      </c>
      <c r="F47" s="464"/>
      <c r="G47" s="464"/>
      <c r="H47" s="465">
        <f t="shared" ca="1" si="7"/>
        <v>290.15999999999997</v>
      </c>
      <c r="I47" s="483"/>
      <c r="J47" s="444"/>
      <c r="K47" s="490"/>
      <c r="L47" s="491" t="s">
        <v>303</v>
      </c>
      <c r="M47" s="466">
        <v>417</v>
      </c>
      <c r="N47" s="467">
        <v>1216</v>
      </c>
      <c r="O47" s="467">
        <v>3032</v>
      </c>
      <c r="P47" s="467">
        <v>1077</v>
      </c>
      <c r="Q47" s="467">
        <v>646</v>
      </c>
      <c r="R47" s="467">
        <v>264</v>
      </c>
      <c r="S47" s="467">
        <v>1500</v>
      </c>
      <c r="T47" s="467">
        <v>40</v>
      </c>
      <c r="U47" s="467">
        <v>12</v>
      </c>
      <c r="V47" s="467">
        <v>266</v>
      </c>
      <c r="W47" s="467">
        <v>236</v>
      </c>
      <c r="X47" s="467">
        <v>12</v>
      </c>
      <c r="Y47" s="467">
        <v>39</v>
      </c>
      <c r="Z47" s="467">
        <v>246</v>
      </c>
      <c r="AA47" s="492">
        <v>1411</v>
      </c>
      <c r="AB47" s="492">
        <v>93</v>
      </c>
      <c r="AC47" s="492">
        <v>462</v>
      </c>
      <c r="AD47" s="492">
        <v>205</v>
      </c>
      <c r="AE47" s="492">
        <v>431</v>
      </c>
      <c r="AF47" s="492">
        <v>15</v>
      </c>
      <c r="AG47" s="492">
        <v>41</v>
      </c>
      <c r="AH47" s="492">
        <v>74</v>
      </c>
      <c r="AI47" s="492">
        <v>292</v>
      </c>
      <c r="AJ47" s="493">
        <v>19</v>
      </c>
      <c r="AK47" s="492">
        <v>172</v>
      </c>
      <c r="AL47" s="494">
        <v>272</v>
      </c>
      <c r="AM47" s="492">
        <v>21</v>
      </c>
      <c r="AN47" s="492">
        <v>9.4</v>
      </c>
      <c r="AO47" s="492">
        <v>55.6</v>
      </c>
      <c r="AP47" s="492">
        <v>58</v>
      </c>
      <c r="AQ47" s="773">
        <v>737.5</v>
      </c>
      <c r="AR47" s="948">
        <v>56</v>
      </c>
      <c r="AS47" s="957">
        <v>41.26</v>
      </c>
      <c r="AT47" s="1276">
        <v>27.14</v>
      </c>
      <c r="AU47" s="1276">
        <v>1203</v>
      </c>
      <c r="AV47" s="1377">
        <v>187</v>
      </c>
      <c r="AW47" s="1377">
        <v>22</v>
      </c>
      <c r="AX47" s="1377">
        <v>38</v>
      </c>
      <c r="AY47" s="1377">
        <v>0.8</v>
      </c>
      <c r="AZ47" s="496" t="e">
        <f>フェロモントラップ野帳!$E$265</f>
        <v>#N/A</v>
      </c>
    </row>
    <row r="48" spans="1:52" ht="13.5" customHeight="1">
      <c r="A48" s="403"/>
      <c r="B48" s="408"/>
      <c r="C48" s="461" t="s">
        <v>194</v>
      </c>
      <c r="D48" s="1603" t="e">
        <f t="shared" ca="1" si="6"/>
        <v>#N/A</v>
      </c>
      <c r="E48" s="779">
        <f t="shared" ca="1" si="4"/>
        <v>273.733</v>
      </c>
      <c r="F48" s="464"/>
      <c r="G48" s="464"/>
      <c r="H48" s="465">
        <f t="shared" ca="1" si="7"/>
        <v>217.14000000000001</v>
      </c>
      <c r="I48" s="483"/>
      <c r="J48" s="444"/>
      <c r="K48" s="490"/>
      <c r="L48" s="491" t="s">
        <v>304</v>
      </c>
      <c r="M48" s="466">
        <v>2030</v>
      </c>
      <c r="N48" s="467">
        <v>1200</v>
      </c>
      <c r="O48" s="467">
        <v>1333</v>
      </c>
      <c r="P48" s="467">
        <v>1059</v>
      </c>
      <c r="Q48" s="467">
        <v>838</v>
      </c>
      <c r="R48" s="467">
        <v>1402</v>
      </c>
      <c r="S48" s="467">
        <v>3827</v>
      </c>
      <c r="T48" s="467">
        <v>20</v>
      </c>
      <c r="U48" s="467">
        <v>14</v>
      </c>
      <c r="V48" s="467">
        <v>183</v>
      </c>
      <c r="W48" s="467">
        <v>172</v>
      </c>
      <c r="X48" s="467">
        <v>20</v>
      </c>
      <c r="Y48" s="467">
        <v>7</v>
      </c>
      <c r="Z48" s="467">
        <v>21</v>
      </c>
      <c r="AA48" s="492">
        <v>213</v>
      </c>
      <c r="AB48" s="492">
        <v>215</v>
      </c>
      <c r="AC48" s="492">
        <v>57</v>
      </c>
      <c r="AD48" s="492">
        <v>54</v>
      </c>
      <c r="AE48" s="492">
        <v>222</v>
      </c>
      <c r="AF48" s="492">
        <v>60</v>
      </c>
      <c r="AG48" s="492">
        <v>101</v>
      </c>
      <c r="AH48" s="492">
        <v>30</v>
      </c>
      <c r="AI48" s="492">
        <v>306</v>
      </c>
      <c r="AJ48" s="493">
        <v>4</v>
      </c>
      <c r="AK48" s="492">
        <v>46</v>
      </c>
      <c r="AL48" s="494">
        <v>116</v>
      </c>
      <c r="AM48" s="492">
        <v>15</v>
      </c>
      <c r="AN48" s="492">
        <v>28</v>
      </c>
      <c r="AO48" s="492">
        <v>105.5</v>
      </c>
      <c r="AP48" s="492">
        <v>54</v>
      </c>
      <c r="AQ48" s="773">
        <v>1316</v>
      </c>
      <c r="AR48" s="948">
        <v>104</v>
      </c>
      <c r="AS48" s="957">
        <v>45.57</v>
      </c>
      <c r="AT48" s="1276">
        <v>132.06</v>
      </c>
      <c r="AU48" s="1276">
        <v>492.5</v>
      </c>
      <c r="AV48" s="1377">
        <v>367</v>
      </c>
      <c r="AW48" s="1377">
        <v>203</v>
      </c>
      <c r="AX48" s="1377">
        <v>22</v>
      </c>
      <c r="AY48" s="1377">
        <v>1.2</v>
      </c>
      <c r="AZ48" s="496" t="e">
        <f>フェロモントラップ野帳!$E$270</f>
        <v>#N/A</v>
      </c>
    </row>
    <row r="49" spans="1:52" ht="13.5" customHeight="1" thickBot="1">
      <c r="A49" s="403"/>
      <c r="B49" s="472"/>
      <c r="C49" s="448" t="s">
        <v>195</v>
      </c>
      <c r="D49" s="1290" t="e">
        <f t="shared" ca="1" si="6"/>
        <v>#N/A</v>
      </c>
      <c r="E49" s="1607">
        <f t="shared" ca="1" si="4"/>
        <v>438.37714285714281</v>
      </c>
      <c r="F49" s="475"/>
      <c r="G49" s="475"/>
      <c r="H49" s="476">
        <f t="shared" ca="1" si="7"/>
        <v>463.6142857142857</v>
      </c>
      <c r="I49" s="507"/>
      <c r="J49" s="444"/>
      <c r="K49" s="508"/>
      <c r="L49" s="509" t="s">
        <v>305</v>
      </c>
      <c r="M49" s="530">
        <v>3268</v>
      </c>
      <c r="N49" s="531">
        <v>622</v>
      </c>
      <c r="O49" s="531">
        <v>791</v>
      </c>
      <c r="P49" s="531">
        <v>610</v>
      </c>
      <c r="Q49" s="531">
        <v>1667</v>
      </c>
      <c r="R49" s="531">
        <v>2471</v>
      </c>
      <c r="S49" s="531">
        <v>5728</v>
      </c>
      <c r="T49" s="531">
        <v>9</v>
      </c>
      <c r="U49" s="531">
        <v>7</v>
      </c>
      <c r="V49" s="531">
        <v>317</v>
      </c>
      <c r="W49" s="531">
        <v>11</v>
      </c>
      <c r="X49" s="531">
        <v>58</v>
      </c>
      <c r="Y49" s="531">
        <v>59</v>
      </c>
      <c r="Z49" s="531">
        <v>8</v>
      </c>
      <c r="AA49" s="500">
        <v>191</v>
      </c>
      <c r="AB49" s="500">
        <v>387</v>
      </c>
      <c r="AC49" s="500">
        <v>65</v>
      </c>
      <c r="AD49" s="500">
        <v>118</v>
      </c>
      <c r="AE49" s="500">
        <v>84</v>
      </c>
      <c r="AF49" s="500">
        <v>59</v>
      </c>
      <c r="AG49" s="500">
        <v>162</v>
      </c>
      <c r="AH49" s="500">
        <v>30</v>
      </c>
      <c r="AI49" s="500">
        <v>143</v>
      </c>
      <c r="AJ49" s="501">
        <v>2</v>
      </c>
      <c r="AK49" s="500">
        <v>43</v>
      </c>
      <c r="AL49" s="502">
        <v>333</v>
      </c>
      <c r="AM49" s="500">
        <v>45</v>
      </c>
      <c r="AN49" s="500">
        <v>30</v>
      </c>
      <c r="AO49" s="500">
        <v>86</v>
      </c>
      <c r="AP49" s="500">
        <v>88.6</v>
      </c>
      <c r="AQ49" s="868">
        <v>1125</v>
      </c>
      <c r="AR49" s="949">
        <v>93.3</v>
      </c>
      <c r="AS49" s="958">
        <v>63</v>
      </c>
      <c r="AT49" s="805">
        <v>695.8</v>
      </c>
      <c r="AU49" s="805">
        <v>315.5</v>
      </c>
      <c r="AV49" s="1378">
        <v>1053.5714285714287</v>
      </c>
      <c r="AW49" s="1378">
        <v>850</v>
      </c>
      <c r="AX49" s="1378">
        <v>99</v>
      </c>
      <c r="AY49" s="1378">
        <v>0</v>
      </c>
      <c r="AZ49" s="504" t="e">
        <f>フェロモントラップ野帳!$E$276</f>
        <v>#N/A</v>
      </c>
    </row>
    <row r="50" spans="1:52" ht="13.5" customHeight="1">
      <c r="A50" s="403"/>
      <c r="B50" s="408"/>
      <c r="C50" s="529" t="s">
        <v>189</v>
      </c>
      <c r="D50" s="1603" t="e">
        <f t="shared" ca="1" si="6"/>
        <v>#N/A</v>
      </c>
      <c r="E50" s="1606">
        <f t="shared" ca="1" si="4"/>
        <v>546.35985714285721</v>
      </c>
      <c r="F50" s="453"/>
      <c r="G50" s="453"/>
      <c r="H50" s="454">
        <f t="shared" ca="1" si="7"/>
        <v>621.08571428571429</v>
      </c>
      <c r="I50" s="483"/>
      <c r="J50" s="444"/>
      <c r="K50" s="490"/>
      <c r="L50" s="484" t="s">
        <v>300</v>
      </c>
      <c r="M50" s="456">
        <v>1159</v>
      </c>
      <c r="N50" s="457">
        <v>311</v>
      </c>
      <c r="O50" s="457">
        <v>236</v>
      </c>
      <c r="P50" s="457">
        <v>667</v>
      </c>
      <c r="Q50" s="457">
        <v>770</v>
      </c>
      <c r="R50" s="457">
        <v>4240</v>
      </c>
      <c r="S50" s="457">
        <v>1948</v>
      </c>
      <c r="T50" s="457">
        <v>8</v>
      </c>
      <c r="U50" s="457">
        <v>108</v>
      </c>
      <c r="V50" s="457">
        <v>270</v>
      </c>
      <c r="W50" s="457">
        <v>12</v>
      </c>
      <c r="X50" s="457">
        <v>662</v>
      </c>
      <c r="Y50" s="457">
        <v>68</v>
      </c>
      <c r="Z50" s="457">
        <v>49</v>
      </c>
      <c r="AA50" s="485">
        <v>111</v>
      </c>
      <c r="AB50" s="485">
        <v>168</v>
      </c>
      <c r="AC50" s="485">
        <v>15</v>
      </c>
      <c r="AD50" s="485">
        <v>255</v>
      </c>
      <c r="AE50" s="485">
        <v>51</v>
      </c>
      <c r="AF50" s="485">
        <v>80</v>
      </c>
      <c r="AG50" s="485">
        <v>197</v>
      </c>
      <c r="AH50" s="485">
        <v>34</v>
      </c>
      <c r="AI50" s="485">
        <v>119</v>
      </c>
      <c r="AJ50" s="486">
        <v>4</v>
      </c>
      <c r="AK50" s="485">
        <v>27</v>
      </c>
      <c r="AL50" s="487">
        <v>84</v>
      </c>
      <c r="AM50" s="485">
        <v>42.9</v>
      </c>
      <c r="AN50" s="485">
        <v>52</v>
      </c>
      <c r="AO50" s="485">
        <v>60</v>
      </c>
      <c r="AP50" s="485">
        <v>69.2</v>
      </c>
      <c r="AQ50" s="867">
        <v>942.5</v>
      </c>
      <c r="AR50" s="947">
        <v>432.8</v>
      </c>
      <c r="AS50" s="956">
        <v>266.67</v>
      </c>
      <c r="AT50" s="806">
        <v>647</v>
      </c>
      <c r="AU50" s="806">
        <v>802</v>
      </c>
      <c r="AV50" s="1376">
        <v>1584.4285714285713</v>
      </c>
      <c r="AW50" s="1376">
        <v>362</v>
      </c>
      <c r="AX50" s="1376">
        <v>357</v>
      </c>
      <c r="AY50" s="1376">
        <v>0</v>
      </c>
      <c r="AZ50" s="489" t="e">
        <f>フェロモントラップ野帳!$E$290</f>
        <v>#N/A</v>
      </c>
    </row>
    <row r="51" spans="1:52" ht="13.5" customHeight="1">
      <c r="A51" s="403"/>
      <c r="B51" s="408"/>
      <c r="C51" s="461" t="s">
        <v>190</v>
      </c>
      <c r="D51" s="1603" t="e">
        <f t="shared" ca="1" si="6"/>
        <v>#N/A</v>
      </c>
      <c r="E51" s="779">
        <f t="shared" ca="1" si="4"/>
        <v>435.113</v>
      </c>
      <c r="F51" s="464"/>
      <c r="G51" s="464"/>
      <c r="H51" s="465">
        <f t="shared" ca="1" si="7"/>
        <v>614</v>
      </c>
      <c r="I51" s="483"/>
      <c r="J51" s="444"/>
      <c r="K51" s="490"/>
      <c r="L51" s="491" t="s">
        <v>301</v>
      </c>
      <c r="M51" s="466">
        <v>388</v>
      </c>
      <c r="N51" s="467">
        <v>152</v>
      </c>
      <c r="O51" s="467">
        <v>605</v>
      </c>
      <c r="P51" s="467">
        <v>511</v>
      </c>
      <c r="Q51" s="467">
        <v>1255</v>
      </c>
      <c r="R51" s="467">
        <v>871</v>
      </c>
      <c r="S51" s="467">
        <v>789</v>
      </c>
      <c r="T51" s="467">
        <v>4</v>
      </c>
      <c r="U51" s="467">
        <v>35</v>
      </c>
      <c r="V51" s="467">
        <v>170</v>
      </c>
      <c r="W51" s="467">
        <v>7</v>
      </c>
      <c r="X51" s="467">
        <v>460</v>
      </c>
      <c r="Y51" s="467">
        <v>47</v>
      </c>
      <c r="Z51" s="467">
        <v>411</v>
      </c>
      <c r="AA51" s="492">
        <v>158</v>
      </c>
      <c r="AB51" s="492">
        <v>94</v>
      </c>
      <c r="AC51" s="492">
        <v>25</v>
      </c>
      <c r="AD51" s="492">
        <v>240</v>
      </c>
      <c r="AE51" s="492">
        <v>37</v>
      </c>
      <c r="AF51" s="492">
        <v>110</v>
      </c>
      <c r="AG51" s="492">
        <v>12</v>
      </c>
      <c r="AH51" s="492">
        <v>31</v>
      </c>
      <c r="AI51" s="492">
        <v>52</v>
      </c>
      <c r="AJ51" s="493">
        <v>6</v>
      </c>
      <c r="AK51" s="492">
        <v>15</v>
      </c>
      <c r="AL51" s="494">
        <v>343</v>
      </c>
      <c r="AM51" s="492">
        <v>32</v>
      </c>
      <c r="AN51" s="492">
        <v>96.67</v>
      </c>
      <c r="AO51" s="492">
        <v>83.5</v>
      </c>
      <c r="AP51" s="492">
        <v>56.3</v>
      </c>
      <c r="AQ51" s="773">
        <v>287.5</v>
      </c>
      <c r="AR51" s="948">
        <v>282</v>
      </c>
      <c r="AS51" s="957">
        <v>305.33</v>
      </c>
      <c r="AT51" s="1276">
        <v>350</v>
      </c>
      <c r="AU51" s="1276">
        <v>1052</v>
      </c>
      <c r="AV51" s="1377">
        <v>1221</v>
      </c>
      <c r="AW51" s="1377">
        <v>513</v>
      </c>
      <c r="AX51" s="1377">
        <v>279</v>
      </c>
      <c r="AY51" s="1377">
        <v>5</v>
      </c>
      <c r="AZ51" s="496" t="e">
        <f>フェロモントラップ野帳!$E$295</f>
        <v>#N/A</v>
      </c>
    </row>
    <row r="52" spans="1:52" ht="13.5" customHeight="1">
      <c r="A52" s="403"/>
      <c r="B52" s="408" t="s">
        <v>203</v>
      </c>
      <c r="C52" s="461" t="s">
        <v>192</v>
      </c>
      <c r="D52" s="1603" t="e">
        <f t="shared" ca="1" si="6"/>
        <v>#N/A</v>
      </c>
      <c r="E52" s="779">
        <f t="shared" ca="1" si="4"/>
        <v>419.41700000000003</v>
      </c>
      <c r="F52" s="464"/>
      <c r="G52" s="464"/>
      <c r="H52" s="465">
        <f t="shared" ca="1" si="7"/>
        <v>695.6</v>
      </c>
      <c r="I52" s="483"/>
      <c r="J52" s="444"/>
      <c r="K52" s="490" t="s">
        <v>292</v>
      </c>
      <c r="L52" s="491" t="s">
        <v>302</v>
      </c>
      <c r="M52" s="466">
        <v>0</v>
      </c>
      <c r="N52" s="467">
        <v>132</v>
      </c>
      <c r="O52" s="467">
        <v>804</v>
      </c>
      <c r="P52" s="467">
        <v>543</v>
      </c>
      <c r="Q52" s="467">
        <v>379</v>
      </c>
      <c r="R52" s="467">
        <v>615</v>
      </c>
      <c r="S52" s="467">
        <v>459</v>
      </c>
      <c r="T52" s="467">
        <v>6</v>
      </c>
      <c r="U52" s="467">
        <v>10</v>
      </c>
      <c r="V52" s="467">
        <v>80</v>
      </c>
      <c r="W52" s="467">
        <v>8</v>
      </c>
      <c r="X52" s="467">
        <v>383</v>
      </c>
      <c r="Y52" s="467">
        <v>748</v>
      </c>
      <c r="Z52" s="467">
        <v>520</v>
      </c>
      <c r="AA52" s="492">
        <v>161</v>
      </c>
      <c r="AB52" s="492">
        <v>31</v>
      </c>
      <c r="AC52" s="492">
        <v>84</v>
      </c>
      <c r="AD52" s="492">
        <v>134</v>
      </c>
      <c r="AE52" s="492">
        <v>65</v>
      </c>
      <c r="AF52" s="492">
        <v>89</v>
      </c>
      <c r="AG52" s="492">
        <v>14</v>
      </c>
      <c r="AH52" s="492">
        <v>15</v>
      </c>
      <c r="AI52" s="492">
        <v>36</v>
      </c>
      <c r="AJ52" s="493">
        <v>8</v>
      </c>
      <c r="AK52" s="492">
        <v>42</v>
      </c>
      <c r="AL52" s="494">
        <v>311</v>
      </c>
      <c r="AM52" s="492">
        <v>17</v>
      </c>
      <c r="AN52" s="492">
        <v>5</v>
      </c>
      <c r="AO52" s="492">
        <v>78.5</v>
      </c>
      <c r="AP52" s="492">
        <v>75</v>
      </c>
      <c r="AQ52" s="773">
        <v>148.5</v>
      </c>
      <c r="AR52" s="948">
        <v>193</v>
      </c>
      <c r="AS52" s="957">
        <v>211.67</v>
      </c>
      <c r="AT52" s="1276">
        <v>88</v>
      </c>
      <c r="AU52" s="1276">
        <v>1609</v>
      </c>
      <c r="AV52" s="1377">
        <v>1289</v>
      </c>
      <c r="AW52" s="1377">
        <v>228</v>
      </c>
      <c r="AX52" s="1377">
        <v>344</v>
      </c>
      <c r="AY52" s="1377">
        <v>8</v>
      </c>
      <c r="AZ52" s="496" t="e">
        <f>フェロモントラップ野帳!$E$300</f>
        <v>#N/A</v>
      </c>
    </row>
    <row r="53" spans="1:52" ht="13.5" customHeight="1">
      <c r="A53" s="403"/>
      <c r="B53" s="408"/>
      <c r="C53" s="461" t="s">
        <v>193</v>
      </c>
      <c r="D53" s="1603" t="e">
        <f t="shared" ca="1" si="6"/>
        <v>#N/A</v>
      </c>
      <c r="E53" s="779">
        <f t="shared" ca="1" si="4"/>
        <v>254.25666666666666</v>
      </c>
      <c r="F53" s="464"/>
      <c r="G53" s="464"/>
      <c r="H53" s="465">
        <f t="shared" ca="1" si="7"/>
        <v>409.93333333333328</v>
      </c>
      <c r="I53" s="483"/>
      <c r="J53" s="444"/>
      <c r="K53" s="490"/>
      <c r="L53" s="491" t="s">
        <v>303</v>
      </c>
      <c r="M53" s="466">
        <v>0</v>
      </c>
      <c r="N53" s="467">
        <v>86</v>
      </c>
      <c r="O53" s="467">
        <v>635</v>
      </c>
      <c r="P53" s="467">
        <v>586</v>
      </c>
      <c r="Q53" s="467">
        <v>446</v>
      </c>
      <c r="R53" s="467">
        <v>128</v>
      </c>
      <c r="S53" s="467">
        <v>475</v>
      </c>
      <c r="T53" s="467">
        <v>2</v>
      </c>
      <c r="U53" s="467">
        <v>2</v>
      </c>
      <c r="V53" s="467">
        <v>60</v>
      </c>
      <c r="W53" s="467">
        <v>11</v>
      </c>
      <c r="X53" s="467">
        <v>739</v>
      </c>
      <c r="Y53" s="467">
        <v>753</v>
      </c>
      <c r="Z53" s="467">
        <v>647</v>
      </c>
      <c r="AA53" s="492">
        <v>176</v>
      </c>
      <c r="AB53" s="492">
        <v>55</v>
      </c>
      <c r="AC53" s="492">
        <v>395</v>
      </c>
      <c r="AD53" s="492">
        <v>101</v>
      </c>
      <c r="AE53" s="492">
        <v>65</v>
      </c>
      <c r="AF53" s="492">
        <v>67</v>
      </c>
      <c r="AG53" s="492">
        <v>31</v>
      </c>
      <c r="AH53" s="492">
        <v>11</v>
      </c>
      <c r="AI53" s="492">
        <v>62</v>
      </c>
      <c r="AJ53" s="493">
        <v>20</v>
      </c>
      <c r="AK53" s="492">
        <v>84</v>
      </c>
      <c r="AL53" s="494">
        <v>294</v>
      </c>
      <c r="AM53" s="492">
        <v>3</v>
      </c>
      <c r="AN53" s="492">
        <v>21</v>
      </c>
      <c r="AO53" s="492">
        <v>78</v>
      </c>
      <c r="AP53" s="492">
        <v>71</v>
      </c>
      <c r="AQ53" s="773">
        <v>111.4</v>
      </c>
      <c r="AR53" s="948">
        <v>97.5</v>
      </c>
      <c r="AS53" s="957">
        <v>184</v>
      </c>
      <c r="AT53" s="1276">
        <v>29</v>
      </c>
      <c r="AU53" s="1276">
        <v>971</v>
      </c>
      <c r="AV53" s="1377">
        <v>431</v>
      </c>
      <c r="AW53" s="1377">
        <v>189</v>
      </c>
      <c r="AX53" s="1377">
        <v>454</v>
      </c>
      <c r="AY53" s="1377">
        <v>4.6666666666666661</v>
      </c>
      <c r="AZ53" s="496" t="e">
        <f>フェロモントラップ野帳!$E$305</f>
        <v>#N/A</v>
      </c>
    </row>
    <row r="54" spans="1:52" ht="13.5" customHeight="1">
      <c r="A54" s="403"/>
      <c r="B54" s="408"/>
      <c r="C54" s="461" t="s">
        <v>194</v>
      </c>
      <c r="D54" s="1603" t="e">
        <f t="shared" ca="1" si="6"/>
        <v>#N/A</v>
      </c>
      <c r="E54" s="779">
        <f t="shared" ca="1" si="4"/>
        <v>210.80833333333334</v>
      </c>
      <c r="F54" s="464"/>
      <c r="G54" s="464"/>
      <c r="H54" s="465">
        <f t="shared" ca="1" si="7"/>
        <v>338.51666666666665</v>
      </c>
      <c r="I54" s="483"/>
      <c r="J54" s="444"/>
      <c r="K54" s="490"/>
      <c r="L54" s="491" t="s">
        <v>304</v>
      </c>
      <c r="M54" s="466">
        <v>0</v>
      </c>
      <c r="N54" s="467">
        <v>0</v>
      </c>
      <c r="O54" s="467">
        <v>608</v>
      </c>
      <c r="P54" s="467">
        <v>556</v>
      </c>
      <c r="Q54" s="467">
        <v>79</v>
      </c>
      <c r="R54" s="467">
        <v>113</v>
      </c>
      <c r="S54" s="467">
        <v>423</v>
      </c>
      <c r="T54" s="467">
        <v>0</v>
      </c>
      <c r="U54" s="467">
        <v>0</v>
      </c>
      <c r="V54" s="467">
        <v>57</v>
      </c>
      <c r="W54" s="467">
        <v>22</v>
      </c>
      <c r="X54" s="467">
        <v>267</v>
      </c>
      <c r="Y54" s="467">
        <v>27</v>
      </c>
      <c r="Z54" s="467">
        <v>332</v>
      </c>
      <c r="AA54" s="492">
        <v>116</v>
      </c>
      <c r="AB54" s="492">
        <v>50</v>
      </c>
      <c r="AC54" s="492">
        <v>139</v>
      </c>
      <c r="AD54" s="492">
        <v>162</v>
      </c>
      <c r="AE54" s="492">
        <v>58</v>
      </c>
      <c r="AF54" s="492">
        <v>64</v>
      </c>
      <c r="AG54" s="492">
        <v>44</v>
      </c>
      <c r="AH54" s="492">
        <v>10</v>
      </c>
      <c r="AI54" s="492">
        <v>20</v>
      </c>
      <c r="AJ54" s="493">
        <v>15</v>
      </c>
      <c r="AK54" s="492">
        <v>78</v>
      </c>
      <c r="AL54" s="494">
        <v>88</v>
      </c>
      <c r="AM54" s="492">
        <v>5</v>
      </c>
      <c r="AN54" s="492">
        <v>12.14</v>
      </c>
      <c r="AO54" s="492">
        <v>28.3</v>
      </c>
      <c r="AP54" s="492">
        <v>69.599999999999994</v>
      </c>
      <c r="AQ54" s="773">
        <v>54.4</v>
      </c>
      <c r="AR54" s="948">
        <v>92.5</v>
      </c>
      <c r="AS54" s="957">
        <v>86</v>
      </c>
      <c r="AT54" s="1276">
        <v>113</v>
      </c>
      <c r="AU54" s="1276">
        <v>1358</v>
      </c>
      <c r="AV54" s="1377">
        <v>203</v>
      </c>
      <c r="AW54" s="1377">
        <v>47</v>
      </c>
      <c r="AX54" s="1377">
        <v>81</v>
      </c>
      <c r="AY54" s="1377">
        <v>3.583333333333333</v>
      </c>
      <c r="AZ54" s="496" t="e">
        <f>フェロモントラップ野帳!$E$310</f>
        <v>#N/A</v>
      </c>
    </row>
    <row r="55" spans="1:52" ht="13.5" customHeight="1" thickBot="1">
      <c r="A55" s="403"/>
      <c r="B55" s="408"/>
      <c r="C55" s="448" t="s">
        <v>195</v>
      </c>
      <c r="D55" s="1290" t="e">
        <f t="shared" ca="1" si="6"/>
        <v>#N/A</v>
      </c>
      <c r="E55" s="1607">
        <f t="shared" ca="1" si="4"/>
        <v>183.96199999999999</v>
      </c>
      <c r="F55" s="475"/>
      <c r="G55" s="475"/>
      <c r="H55" s="476">
        <f t="shared" ca="1" si="7"/>
        <v>317.35000000000002</v>
      </c>
      <c r="I55" s="507"/>
      <c r="J55" s="444"/>
      <c r="K55" s="490"/>
      <c r="L55" s="509" t="s">
        <v>305</v>
      </c>
      <c r="M55" s="477">
        <v>0</v>
      </c>
      <c r="N55" s="478">
        <v>0</v>
      </c>
      <c r="O55" s="478">
        <v>478</v>
      </c>
      <c r="P55" s="478">
        <v>744</v>
      </c>
      <c r="Q55" s="478">
        <v>89</v>
      </c>
      <c r="R55" s="478">
        <v>69</v>
      </c>
      <c r="S55" s="478">
        <v>206</v>
      </c>
      <c r="T55" s="478">
        <v>17</v>
      </c>
      <c r="U55" s="478">
        <v>0</v>
      </c>
      <c r="V55" s="478">
        <v>51</v>
      </c>
      <c r="W55" s="478">
        <v>9</v>
      </c>
      <c r="X55" s="478">
        <v>238</v>
      </c>
      <c r="Y55" s="478">
        <v>190</v>
      </c>
      <c r="Z55" s="478">
        <v>12</v>
      </c>
      <c r="AA55" s="510">
        <v>369</v>
      </c>
      <c r="AB55" s="510">
        <v>20</v>
      </c>
      <c r="AC55" s="510">
        <v>135</v>
      </c>
      <c r="AD55" s="510">
        <v>35</v>
      </c>
      <c r="AE55" s="510">
        <v>103</v>
      </c>
      <c r="AF55" s="510">
        <v>17</v>
      </c>
      <c r="AG55" s="510">
        <v>44</v>
      </c>
      <c r="AH55" s="510">
        <v>44</v>
      </c>
      <c r="AI55" s="510">
        <f>27/(6/5)</f>
        <v>22.5</v>
      </c>
      <c r="AJ55" s="511">
        <v>10</v>
      </c>
      <c r="AK55" s="510">
        <v>70</v>
      </c>
      <c r="AL55" s="512">
        <v>92</v>
      </c>
      <c r="AM55" s="510">
        <v>2.5</v>
      </c>
      <c r="AN55" s="510">
        <v>5.71</v>
      </c>
      <c r="AO55" s="510">
        <v>25.6</v>
      </c>
      <c r="AP55" s="510">
        <v>117.4</v>
      </c>
      <c r="AQ55" s="869">
        <v>53.3</v>
      </c>
      <c r="AR55" s="950">
        <v>37</v>
      </c>
      <c r="AS55" s="959">
        <v>31.67</v>
      </c>
      <c r="AT55" s="807">
        <v>13.5</v>
      </c>
      <c r="AU55" s="807">
        <v>1262</v>
      </c>
      <c r="AV55" s="1379">
        <v>229</v>
      </c>
      <c r="AW55" s="1379">
        <v>23</v>
      </c>
      <c r="AX55" s="1379">
        <v>72</v>
      </c>
      <c r="AY55" s="1379">
        <v>0.75</v>
      </c>
      <c r="AZ55" s="514" t="e">
        <f>フェロモントラップ野帳!$E$316</f>
        <v>#N/A</v>
      </c>
    </row>
    <row r="56" spans="1:52" ht="13.5" customHeight="1">
      <c r="A56" s="403"/>
      <c r="B56" s="407"/>
      <c r="C56" s="529" t="s">
        <v>189</v>
      </c>
      <c r="D56" s="1603" t="e">
        <f t="shared" ca="1" si="6"/>
        <v>#N/A</v>
      </c>
      <c r="E56" s="1606">
        <f t="shared" ca="1" si="4"/>
        <v>91.613</v>
      </c>
      <c r="F56" s="453"/>
      <c r="G56" s="453"/>
      <c r="H56" s="454">
        <f t="shared" ca="1" si="7"/>
        <v>135</v>
      </c>
      <c r="I56" s="483"/>
      <c r="J56" s="444"/>
      <c r="K56" s="434"/>
      <c r="L56" s="484" t="s">
        <v>300</v>
      </c>
      <c r="M56" s="516">
        <v>0</v>
      </c>
      <c r="N56" s="517">
        <v>0</v>
      </c>
      <c r="O56" s="517">
        <v>0</v>
      </c>
      <c r="P56" s="517">
        <v>449</v>
      </c>
      <c r="Q56" s="517">
        <v>193</v>
      </c>
      <c r="R56" s="517">
        <v>60</v>
      </c>
      <c r="S56" s="517">
        <v>168</v>
      </c>
      <c r="T56" s="517">
        <v>23</v>
      </c>
      <c r="U56" s="517"/>
      <c r="V56" s="517">
        <v>8</v>
      </c>
      <c r="W56" s="517">
        <v>5</v>
      </c>
      <c r="X56" s="517">
        <v>200</v>
      </c>
      <c r="Y56" s="517">
        <v>47</v>
      </c>
      <c r="Z56" s="517">
        <v>30</v>
      </c>
      <c r="AA56" s="518">
        <v>198</v>
      </c>
      <c r="AB56" s="518">
        <v>1</v>
      </c>
      <c r="AC56" s="518">
        <v>121</v>
      </c>
      <c r="AD56" s="518">
        <v>43</v>
      </c>
      <c r="AE56" s="518">
        <v>96</v>
      </c>
      <c r="AF56" s="518">
        <v>63</v>
      </c>
      <c r="AG56" s="518">
        <v>16</v>
      </c>
      <c r="AH56" s="518">
        <v>38</v>
      </c>
      <c r="AI56" s="518">
        <v>10</v>
      </c>
      <c r="AJ56" s="519">
        <v>0</v>
      </c>
      <c r="AK56" s="518">
        <v>72</v>
      </c>
      <c r="AL56" s="520">
        <v>0</v>
      </c>
      <c r="AM56" s="518">
        <v>4</v>
      </c>
      <c r="AN56" s="518">
        <v>1</v>
      </c>
      <c r="AO56" s="518">
        <v>10</v>
      </c>
      <c r="AP56" s="518">
        <v>5</v>
      </c>
      <c r="AQ56" s="870">
        <v>32</v>
      </c>
      <c r="AR56" s="951">
        <v>88</v>
      </c>
      <c r="AS56" s="960">
        <v>10.63</v>
      </c>
      <c r="AT56" s="1324">
        <v>105.5</v>
      </c>
      <c r="AU56" s="1324">
        <v>552</v>
      </c>
      <c r="AV56" s="1380">
        <v>63.333333333333329</v>
      </c>
      <c r="AW56" s="1380">
        <v>36.666666666666664</v>
      </c>
      <c r="AX56" s="1380">
        <v>22</v>
      </c>
      <c r="AY56" s="1380">
        <v>1</v>
      </c>
      <c r="AZ56" s="522" t="e">
        <f>フェロモントラップ野帳!$E$330</f>
        <v>#N/A</v>
      </c>
    </row>
    <row r="57" spans="1:52" ht="13.5" customHeight="1">
      <c r="A57" s="403"/>
      <c r="B57" s="408"/>
      <c r="C57" s="461" t="s">
        <v>190</v>
      </c>
      <c r="D57" s="1603" t="e">
        <f t="shared" ca="1" si="6"/>
        <v>#N/A</v>
      </c>
      <c r="E57" s="779">
        <f t="shared" ca="1" si="4"/>
        <v>96.50366666666666</v>
      </c>
      <c r="F57" s="464"/>
      <c r="G57" s="464"/>
      <c r="H57" s="465">
        <f t="shared" ca="1" si="7"/>
        <v>154.53333333333333</v>
      </c>
      <c r="I57" s="483"/>
      <c r="J57" s="444"/>
      <c r="K57" s="490"/>
      <c r="L57" s="491" t="s">
        <v>301</v>
      </c>
      <c r="M57" s="466">
        <v>0</v>
      </c>
      <c r="N57" s="467">
        <v>0</v>
      </c>
      <c r="O57" s="467">
        <v>0</v>
      </c>
      <c r="P57" s="467">
        <v>267</v>
      </c>
      <c r="Q57" s="467">
        <v>58</v>
      </c>
      <c r="R57" s="467">
        <v>30</v>
      </c>
      <c r="S57" s="467">
        <v>120</v>
      </c>
      <c r="T57" s="467">
        <v>10</v>
      </c>
      <c r="U57" s="467"/>
      <c r="V57" s="467">
        <v>1</v>
      </c>
      <c r="W57" s="467">
        <v>1</v>
      </c>
      <c r="X57" s="467">
        <v>144</v>
      </c>
      <c r="Y57" s="467">
        <v>540</v>
      </c>
      <c r="Z57" s="467">
        <v>10</v>
      </c>
      <c r="AA57" s="492">
        <v>93</v>
      </c>
      <c r="AB57" s="492">
        <v>6</v>
      </c>
      <c r="AC57" s="492">
        <v>76</v>
      </c>
      <c r="AD57" s="492">
        <v>33</v>
      </c>
      <c r="AE57" s="492">
        <v>82</v>
      </c>
      <c r="AF57" s="492">
        <v>30</v>
      </c>
      <c r="AG57" s="492">
        <v>23</v>
      </c>
      <c r="AH57" s="492">
        <v>31</v>
      </c>
      <c r="AI57" s="492">
        <v>11</v>
      </c>
      <c r="AJ57" s="493">
        <v>6</v>
      </c>
      <c r="AK57" s="492">
        <v>25</v>
      </c>
      <c r="AL57" s="494">
        <v>16</v>
      </c>
      <c r="AM57" s="492">
        <v>3</v>
      </c>
      <c r="AN57" s="492">
        <v>1.67</v>
      </c>
      <c r="AO57" s="492">
        <v>31</v>
      </c>
      <c r="AP57" s="492">
        <v>53</v>
      </c>
      <c r="AQ57" s="773">
        <v>33</v>
      </c>
      <c r="AR57" s="948">
        <v>35</v>
      </c>
      <c r="AS57" s="957">
        <v>6.37</v>
      </c>
      <c r="AT57" s="1276">
        <v>65</v>
      </c>
      <c r="AU57" s="1276">
        <v>723</v>
      </c>
      <c r="AV57" s="1377">
        <v>36.666666666666671</v>
      </c>
      <c r="AW57" s="1377">
        <v>5</v>
      </c>
      <c r="AX57" s="1377">
        <v>6</v>
      </c>
      <c r="AY57" s="1377">
        <v>2</v>
      </c>
      <c r="AZ57" s="496" t="e">
        <f>フェロモントラップ野帳!$E$335</f>
        <v>#N/A</v>
      </c>
    </row>
    <row r="58" spans="1:52" ht="13.5" customHeight="1">
      <c r="A58" s="403"/>
      <c r="B58" s="408" t="s">
        <v>204</v>
      </c>
      <c r="C58" s="461" t="s">
        <v>192</v>
      </c>
      <c r="D58" s="1603" t="e">
        <f t="shared" ca="1" si="6"/>
        <v>#N/A</v>
      </c>
      <c r="E58" s="779">
        <f t="shared" ca="1" si="4"/>
        <v>41.610857142857142</v>
      </c>
      <c r="F58" s="464"/>
      <c r="G58" s="464"/>
      <c r="H58" s="465">
        <f t="shared" ca="1" si="7"/>
        <v>62.485714285714288</v>
      </c>
      <c r="I58" s="483"/>
      <c r="J58" s="444"/>
      <c r="K58" s="490" t="s">
        <v>293</v>
      </c>
      <c r="L58" s="491" t="s">
        <v>302</v>
      </c>
      <c r="M58" s="466">
        <v>0</v>
      </c>
      <c r="N58" s="467">
        <v>0</v>
      </c>
      <c r="O58" s="467">
        <v>0</v>
      </c>
      <c r="P58" s="467">
        <v>177</v>
      </c>
      <c r="Q58" s="467">
        <v>0</v>
      </c>
      <c r="R58" s="467">
        <v>0</v>
      </c>
      <c r="S58" s="467">
        <v>111</v>
      </c>
      <c r="T58" s="467">
        <v>8</v>
      </c>
      <c r="U58" s="467"/>
      <c r="V58" s="467">
        <v>0</v>
      </c>
      <c r="W58" s="467">
        <v>31</v>
      </c>
      <c r="X58" s="467">
        <v>98</v>
      </c>
      <c r="Y58" s="467">
        <v>161</v>
      </c>
      <c r="Z58" s="467">
        <v>25</v>
      </c>
      <c r="AA58" s="492">
        <v>30</v>
      </c>
      <c r="AB58" s="492">
        <v>9</v>
      </c>
      <c r="AC58" s="492">
        <v>60</v>
      </c>
      <c r="AD58" s="492">
        <v>12</v>
      </c>
      <c r="AE58" s="492">
        <v>34</v>
      </c>
      <c r="AF58" s="492">
        <v>192</v>
      </c>
      <c r="AG58" s="492">
        <v>41</v>
      </c>
      <c r="AH58" s="492">
        <v>43</v>
      </c>
      <c r="AI58" s="492">
        <v>7</v>
      </c>
      <c r="AJ58" s="493">
        <v>3</v>
      </c>
      <c r="AK58" s="492">
        <v>28</v>
      </c>
      <c r="AL58" s="494">
        <v>3</v>
      </c>
      <c r="AM58" s="492">
        <v>0</v>
      </c>
      <c r="AN58" s="492">
        <v>2.33</v>
      </c>
      <c r="AO58" s="492">
        <v>12.5</v>
      </c>
      <c r="AP58" s="492">
        <v>46</v>
      </c>
      <c r="AQ58" s="773">
        <v>10.8</v>
      </c>
      <c r="AR58" s="948">
        <v>10</v>
      </c>
      <c r="AS58" s="957">
        <v>31.88</v>
      </c>
      <c r="AT58" s="1276">
        <v>5</v>
      </c>
      <c r="AU58" s="1276">
        <v>257</v>
      </c>
      <c r="AV58" s="1377">
        <v>49</v>
      </c>
      <c r="AW58" s="1377">
        <v>0</v>
      </c>
      <c r="AX58" s="1377">
        <v>5.7142857142857135</v>
      </c>
      <c r="AY58" s="1377">
        <v>0.71428571428571419</v>
      </c>
      <c r="AZ58" s="496" t="e">
        <f>フェロモントラップ野帳!$E$340</f>
        <v>#N/A</v>
      </c>
    </row>
    <row r="59" spans="1:52" ht="13.5" customHeight="1">
      <c r="A59" s="403"/>
      <c r="B59" s="408"/>
      <c r="C59" s="461" t="s">
        <v>193</v>
      </c>
      <c r="D59" s="1603" t="e">
        <f t="shared" ca="1" si="6"/>
        <v>#N/A</v>
      </c>
      <c r="E59" s="779">
        <f t="shared" ca="1" si="4"/>
        <v>22.310571428571428</v>
      </c>
      <c r="F59" s="464"/>
      <c r="G59" s="464"/>
      <c r="H59" s="465">
        <f t="shared" ca="1" si="7"/>
        <v>24.25714285714286</v>
      </c>
      <c r="I59" s="483"/>
      <c r="J59" s="444"/>
      <c r="K59" s="490"/>
      <c r="L59" s="491" t="s">
        <v>303</v>
      </c>
      <c r="M59" s="466">
        <v>0</v>
      </c>
      <c r="N59" s="467">
        <v>0</v>
      </c>
      <c r="O59" s="467">
        <v>0</v>
      </c>
      <c r="P59" s="467">
        <v>321</v>
      </c>
      <c r="Q59" s="467">
        <v>0</v>
      </c>
      <c r="R59" s="467">
        <v>0</v>
      </c>
      <c r="S59" s="467">
        <v>80</v>
      </c>
      <c r="T59" s="467">
        <v>4</v>
      </c>
      <c r="U59" s="467"/>
      <c r="V59" s="467">
        <v>1</v>
      </c>
      <c r="W59" s="467">
        <v>69</v>
      </c>
      <c r="X59" s="467">
        <v>45</v>
      </c>
      <c r="Y59" s="467">
        <v>13</v>
      </c>
      <c r="Z59" s="467">
        <v>13</v>
      </c>
      <c r="AA59" s="492">
        <v>21</v>
      </c>
      <c r="AB59" s="492">
        <v>5</v>
      </c>
      <c r="AC59" s="492">
        <v>59</v>
      </c>
      <c r="AD59" s="492">
        <v>14</v>
      </c>
      <c r="AE59" s="492">
        <v>1</v>
      </c>
      <c r="AF59" s="492">
        <v>186</v>
      </c>
      <c r="AG59" s="492">
        <v>1</v>
      </c>
      <c r="AH59" s="492">
        <v>41</v>
      </c>
      <c r="AI59" s="492">
        <v>1</v>
      </c>
      <c r="AJ59" s="493">
        <v>0</v>
      </c>
      <c r="AK59" s="492">
        <v>54</v>
      </c>
      <c r="AL59" s="494">
        <v>0</v>
      </c>
      <c r="AM59" s="492">
        <v>0</v>
      </c>
      <c r="AN59" s="492">
        <v>1</v>
      </c>
      <c r="AO59" s="492">
        <v>25.5</v>
      </c>
      <c r="AP59" s="492">
        <v>62</v>
      </c>
      <c r="AQ59" s="773">
        <v>2.2000000000000002</v>
      </c>
      <c r="AR59" s="948">
        <v>1</v>
      </c>
      <c r="AS59" s="957">
        <v>19.12</v>
      </c>
      <c r="AT59" s="1276">
        <v>17.5</v>
      </c>
      <c r="AU59" s="1276">
        <v>78</v>
      </c>
      <c r="AV59" s="1377">
        <v>42</v>
      </c>
      <c r="AW59" s="1377">
        <v>1</v>
      </c>
      <c r="AX59" s="1377">
        <v>0</v>
      </c>
      <c r="AY59" s="1377">
        <v>0.2857142857142857</v>
      </c>
      <c r="AZ59" s="496" t="e">
        <f>フェロモントラップ野帳!$E$345</f>
        <v>#N/A</v>
      </c>
    </row>
    <row r="60" spans="1:52" ht="13.5" customHeight="1">
      <c r="A60" s="403"/>
      <c r="B60" s="408"/>
      <c r="C60" s="461" t="s">
        <v>194</v>
      </c>
      <c r="D60" s="1603" t="e">
        <f t="shared" ca="1" si="6"/>
        <v>#N/A</v>
      </c>
      <c r="E60" s="779">
        <f t="shared" ca="1" si="4"/>
        <v>42.070476190476185</v>
      </c>
      <c r="F60" s="464"/>
      <c r="G60" s="464"/>
      <c r="H60" s="465">
        <f t="shared" ca="1" si="7"/>
        <v>76.680952380952377</v>
      </c>
      <c r="I60" s="483"/>
      <c r="J60" s="444"/>
      <c r="K60" s="490"/>
      <c r="L60" s="491" t="s">
        <v>304</v>
      </c>
      <c r="M60" s="466">
        <v>0</v>
      </c>
      <c r="N60" s="467">
        <v>0</v>
      </c>
      <c r="O60" s="467">
        <v>0</v>
      </c>
      <c r="P60" s="467">
        <v>41</v>
      </c>
      <c r="Q60" s="467">
        <v>0</v>
      </c>
      <c r="R60" s="467">
        <v>0</v>
      </c>
      <c r="S60" s="467">
        <v>41</v>
      </c>
      <c r="T60" s="467">
        <v>0</v>
      </c>
      <c r="U60" s="467"/>
      <c r="V60" s="467">
        <v>1</v>
      </c>
      <c r="W60" s="467">
        <v>50</v>
      </c>
      <c r="X60" s="467">
        <v>0</v>
      </c>
      <c r="Y60" s="467">
        <v>43</v>
      </c>
      <c r="Z60" s="467">
        <v>47</v>
      </c>
      <c r="AA60" s="492">
        <v>18</v>
      </c>
      <c r="AB60" s="492">
        <v>8</v>
      </c>
      <c r="AC60" s="492">
        <v>31</v>
      </c>
      <c r="AD60" s="492">
        <v>3</v>
      </c>
      <c r="AE60" s="492">
        <v>0</v>
      </c>
      <c r="AF60" s="492">
        <v>69</v>
      </c>
      <c r="AG60" s="492">
        <v>0</v>
      </c>
      <c r="AH60" s="492">
        <v>2</v>
      </c>
      <c r="AI60" s="492">
        <v>2</v>
      </c>
      <c r="AJ60" s="493">
        <v>6</v>
      </c>
      <c r="AK60" s="492">
        <v>1</v>
      </c>
      <c r="AL60" s="494">
        <v>0</v>
      </c>
      <c r="AM60" s="492">
        <v>0</v>
      </c>
      <c r="AN60" s="492">
        <v>0</v>
      </c>
      <c r="AO60" s="492">
        <v>18.3</v>
      </c>
      <c r="AP60" s="492">
        <v>8.8000000000000007</v>
      </c>
      <c r="AQ60" s="773">
        <v>0</v>
      </c>
      <c r="AR60" s="948">
        <v>0</v>
      </c>
      <c r="AS60" s="957">
        <v>18</v>
      </c>
      <c r="AT60" s="1276">
        <v>10.5</v>
      </c>
      <c r="AU60" s="1276">
        <v>356</v>
      </c>
      <c r="AV60" s="1377">
        <v>23</v>
      </c>
      <c r="AW60" s="1377">
        <v>0.83333333333333326</v>
      </c>
      <c r="AX60" s="1377">
        <v>3.5714285714285716</v>
      </c>
      <c r="AY60" s="1377">
        <v>0</v>
      </c>
      <c r="AZ60" s="496" t="e">
        <f>フェロモントラップ野帳!$E$350</f>
        <v>#N/A</v>
      </c>
    </row>
    <row r="61" spans="1:52" ht="13.5" customHeight="1" thickBot="1">
      <c r="A61" s="403"/>
      <c r="B61" s="472"/>
      <c r="C61" s="448" t="s">
        <v>195</v>
      </c>
      <c r="D61" s="1290" t="e">
        <f t="shared" ca="1" si="6"/>
        <v>#N/A</v>
      </c>
      <c r="E61" s="1609">
        <f t="shared" ca="1" si="4"/>
        <v>17.696999999999999</v>
      </c>
      <c r="F61" s="475"/>
      <c r="G61" s="475"/>
      <c r="H61" s="476">
        <f t="shared" ca="1" si="7"/>
        <v>32.6</v>
      </c>
      <c r="I61" s="507"/>
      <c r="J61" s="444"/>
      <c r="K61" s="508"/>
      <c r="L61" s="509" t="s">
        <v>305</v>
      </c>
      <c r="M61" s="477">
        <v>0</v>
      </c>
      <c r="N61" s="478">
        <v>0</v>
      </c>
      <c r="O61" s="478">
        <v>0</v>
      </c>
      <c r="P61" s="478">
        <v>210</v>
      </c>
      <c r="Q61" s="478">
        <v>0</v>
      </c>
      <c r="R61" s="478">
        <v>0</v>
      </c>
      <c r="S61" s="478">
        <v>1</v>
      </c>
      <c r="T61" s="478">
        <v>0</v>
      </c>
      <c r="U61" s="478"/>
      <c r="V61" s="478">
        <v>0</v>
      </c>
      <c r="W61" s="478">
        <v>19</v>
      </c>
      <c r="X61" s="478">
        <v>3</v>
      </c>
      <c r="Y61" s="478">
        <v>20</v>
      </c>
      <c r="Z61" s="478">
        <v>41</v>
      </c>
      <c r="AA61" s="510">
        <v>25</v>
      </c>
      <c r="AB61" s="510">
        <v>4</v>
      </c>
      <c r="AC61" s="510">
        <v>16</v>
      </c>
      <c r="AD61" s="510">
        <v>24</v>
      </c>
      <c r="AE61" s="510">
        <v>21</v>
      </c>
      <c r="AF61" s="510">
        <v>267</v>
      </c>
      <c r="AG61" s="510">
        <v>2</v>
      </c>
      <c r="AH61" s="510">
        <v>4</v>
      </c>
      <c r="AI61" s="510">
        <v>0</v>
      </c>
      <c r="AJ61" s="511">
        <v>2</v>
      </c>
      <c r="AK61" s="510">
        <v>38</v>
      </c>
      <c r="AL61" s="512">
        <v>0</v>
      </c>
      <c r="AM61" s="510">
        <v>0</v>
      </c>
      <c r="AN61" s="510">
        <v>2.5</v>
      </c>
      <c r="AO61" s="510">
        <v>3.7</v>
      </c>
      <c r="AP61" s="510">
        <v>5.3</v>
      </c>
      <c r="AQ61" s="869">
        <v>0</v>
      </c>
      <c r="AR61" s="950">
        <v>6</v>
      </c>
      <c r="AS61" s="959">
        <v>1.67</v>
      </c>
      <c r="AT61" s="807">
        <v>1</v>
      </c>
      <c r="AU61" s="807">
        <v>116</v>
      </c>
      <c r="AV61" s="1379">
        <v>44</v>
      </c>
      <c r="AW61" s="1379">
        <v>3</v>
      </c>
      <c r="AX61" s="1379">
        <v>0</v>
      </c>
      <c r="AY61" s="1379">
        <v>0</v>
      </c>
      <c r="AZ61" s="514" t="e">
        <f>フェロモントラップ野帳!$E$356</f>
        <v>#N/A</v>
      </c>
    </row>
    <row r="62" spans="1:52">
      <c r="E62" s="1601"/>
    </row>
    <row r="71" spans="9:19">
      <c r="I71" s="426"/>
      <c r="J71" s="426"/>
      <c r="K71" s="426"/>
      <c r="L71" s="426"/>
    </row>
    <row r="72" spans="9:19">
      <c r="I72" s="426"/>
      <c r="J72" s="426"/>
      <c r="M72" s="412" t="str">
        <f ca="1">IF(ISERROR(OFFSET(#REF!,0,0,1,#REF!-90)),"",OFFSET(#REF!,0,0,1,#REF!-90))</f>
        <v/>
      </c>
      <c r="N72" s="412" t="str">
        <f ca="1">IF(ISERROR(OFFSET(#REF!,0,0,1,#REF!-90)),"",OFFSET(#REF!,0,0,1,#REF!-90))</f>
        <v/>
      </c>
      <c r="O72" s="532"/>
      <c r="P72" s="426"/>
      <c r="Q72" s="426"/>
      <c r="R72" s="426"/>
      <c r="S72" s="426"/>
    </row>
    <row r="73" spans="9:19">
      <c r="I73" s="426"/>
      <c r="J73" s="426"/>
      <c r="M73" s="412" t="str">
        <f ca="1">IF(ISERROR(OFFSET(#REF!,0,0,1,#REF!-90)),"",OFFSET(#REF!,0,0,1,#REF!-90))</f>
        <v/>
      </c>
      <c r="N73" s="412" t="str">
        <f ca="1">IF(ISERROR(OFFSET(#REF!,0,0,1,#REF!-90)),"",OFFSET(#REF!,0,0,1,#REF!-90))</f>
        <v/>
      </c>
      <c r="O73" s="532"/>
      <c r="P73" s="426"/>
      <c r="Q73" s="426"/>
      <c r="R73" s="426"/>
      <c r="S73" s="426"/>
    </row>
    <row r="74" spans="9:19">
      <c r="I74" s="426"/>
      <c r="J74" s="426"/>
      <c r="M74" s="412" t="str">
        <f ca="1">IF(ISERROR(OFFSET(#REF!,0,0,1,#REF!-90)),"",OFFSET(#REF!,0,0,1,#REF!-90))</f>
        <v/>
      </c>
      <c r="N74" s="412" t="str">
        <f ca="1">IF(ISERROR(OFFSET(#REF!,0,0,1,#REF!-90)),"",OFFSET(#REF!,0,0,1,#REF!-90))</f>
        <v/>
      </c>
      <c r="O74" s="532"/>
      <c r="P74" s="426"/>
      <c r="Q74" s="426"/>
      <c r="R74" s="426"/>
      <c r="S74" s="426"/>
    </row>
    <row r="75" spans="9:19">
      <c r="I75" s="426"/>
      <c r="J75" s="426"/>
      <c r="M75" s="412" t="str">
        <f ca="1">IF(ISERROR(OFFSET(#REF!,0,0,1,#REF!-90)),"",OFFSET(#REF!,0,0,1,#REF!-90))</f>
        <v/>
      </c>
      <c r="N75" s="412" t="str">
        <f ca="1">IF(ISERROR(OFFSET(#REF!,0,0,1,#REF!-90)),"",OFFSET(#REF!,0,0,1,#REF!-90))</f>
        <v/>
      </c>
      <c r="O75" s="532"/>
      <c r="P75" s="426"/>
      <c r="Q75" s="426"/>
      <c r="R75" s="426"/>
      <c r="S75" s="426"/>
    </row>
    <row r="76" spans="9:19">
      <c r="I76" s="426"/>
      <c r="J76" s="426"/>
      <c r="M76" s="412" t="str">
        <f ca="1">IF(ISERROR(OFFSET(#REF!,0,0,1,#REF!-90)),"",OFFSET(#REF!,0,0,1,#REF!-90))</f>
        <v/>
      </c>
      <c r="N76" s="412" t="str">
        <f ca="1">IF(ISERROR(OFFSET(#REF!,0,0,1,#REF!-90)),"",OFFSET(#REF!,0,0,1,#REF!-90))</f>
        <v/>
      </c>
      <c r="O76" s="532"/>
      <c r="P76" s="426"/>
      <c r="Q76" s="426"/>
      <c r="R76" s="426"/>
      <c r="S76" s="426"/>
    </row>
    <row r="77" spans="9:19">
      <c r="I77" s="426"/>
      <c r="J77" s="426"/>
    </row>
    <row r="78" spans="9:19">
      <c r="I78" s="426"/>
      <c r="J78" s="426"/>
    </row>
    <row r="79" spans="9:19">
      <c r="I79" s="426"/>
      <c r="J79" s="426"/>
    </row>
    <row r="80" spans="9:19">
      <c r="I80" s="426"/>
      <c r="J80" s="426"/>
    </row>
  </sheetData>
  <sortState xmlns:xlrd2="http://schemas.microsoft.com/office/spreadsheetml/2017/richdata2" ref="AT12:AU26">
    <sortCondition ref="AT12:AT26"/>
  </sortState>
  <dataConsolidate/>
  <customSheetViews>
    <customSheetView guid="{BC749C3C-D733-4D37-8792-BBFA31845F93}" scale="85" hiddenColumns="1" showRuler="0">
      <selection activeCell="D7" sqref="D7"/>
      <pageMargins left="0.59055118110236227" right="0.59055118110236227" top="0.59055118110236227" bottom="0.59055118110236227" header="0.51181102362204722" footer="0.51181102362204722"/>
      <pageSetup paperSize="9" scale="75" orientation="landscape" verticalDpi="0" r:id="rId1"/>
      <headerFooter alignWithMargins="0"/>
    </customSheetView>
  </customSheetViews>
  <mergeCells count="6">
    <mergeCell ref="AR1:AS1"/>
    <mergeCell ref="J2:K2"/>
    <mergeCell ref="E6:E7"/>
    <mergeCell ref="F5:H5"/>
    <mergeCell ref="F7:H7"/>
    <mergeCell ref="B2:H2"/>
  </mergeCells>
  <phoneticPr fontId="2"/>
  <pageMargins left="0.59055118110236227" right="0.59055118110236227" top="0.59055118110236227" bottom="0.59055118110236227" header="0.51181102362204722" footer="0.51181102362204722"/>
  <pageSetup paperSize="9" scale="63" orientation="landscape" verticalDpi="1200" r:id="rId2"/>
  <headerFooter alignWithMargins="0"/>
  <colBreaks count="1" manualBreakCount="1">
    <brk id="44" max="1048575" man="1"/>
  </col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12">
    <tabColor rgb="FF0000FF"/>
  </sheetPr>
  <dimension ref="A1:CA80"/>
  <sheetViews>
    <sheetView zoomScale="80" zoomScaleNormal="80" zoomScaleSheetLayoutView="80" workbookViewId="0">
      <pane ySplit="7" topLeftCell="A8" activePane="bottomLeft" state="frozenSplit"/>
      <selection activeCell="AX27" sqref="AX27"/>
      <selection pane="bottomLeft" activeCell="L4" sqref="L4"/>
    </sheetView>
  </sheetViews>
  <sheetFormatPr defaultColWidth="9" defaultRowHeight="14"/>
  <cols>
    <col min="1" max="1" width="2.6328125" style="412" customWidth="1"/>
    <col min="2" max="2" width="5.6328125" style="412" customWidth="1"/>
    <col min="3" max="3" width="6.6328125" style="412" customWidth="1"/>
    <col min="4" max="4" width="8.6328125" style="1316" customWidth="1"/>
    <col min="5" max="5" width="10.6328125" style="1316" customWidth="1"/>
    <col min="6" max="6" width="7.6328125" style="1316" customWidth="1"/>
    <col min="7" max="7" width="2.6328125" style="1316" customWidth="1"/>
    <col min="8" max="8" width="7.6328125" style="1316" customWidth="1"/>
    <col min="9" max="9" width="5.6328125" style="412" hidden="1" customWidth="1"/>
    <col min="10" max="10" width="6.36328125" style="412" customWidth="1"/>
    <col min="11" max="11" width="7" style="412" customWidth="1"/>
    <col min="12" max="12" width="6.6328125" style="412" customWidth="1"/>
    <col min="13" max="35" width="7.1796875" style="412" hidden="1" customWidth="1"/>
    <col min="36" max="37" width="7.08984375" style="1248" customWidth="1"/>
    <col min="38" max="39" width="7.08984375" style="412" customWidth="1"/>
    <col min="40" max="41" width="7.6328125" style="412" customWidth="1"/>
    <col min="42" max="43" width="7.6328125" style="1248" customWidth="1"/>
    <col min="44" max="44" width="7.453125" style="412" bestFit="1" customWidth="1"/>
    <col min="45" max="47" width="7.453125" style="1248" customWidth="1"/>
    <col min="48" max="48" width="5.6328125" style="1248" customWidth="1"/>
    <col min="49" max="49" width="6.6328125" style="1248" customWidth="1"/>
    <col min="50" max="50" width="6" style="412" customWidth="1"/>
    <col min="51" max="52" width="7.453125" style="412" bestFit="1" customWidth="1"/>
    <col min="53" max="68" width="6" style="412" customWidth="1"/>
    <col min="69" max="79" width="5.26953125" style="412" customWidth="1"/>
    <col min="80" max="16384" width="9" style="412"/>
  </cols>
  <sheetData>
    <row r="1" spans="1:79" ht="6" customHeight="1">
      <c r="A1" s="403"/>
      <c r="B1" s="403"/>
      <c r="C1" s="403"/>
      <c r="D1" s="1310"/>
      <c r="E1" s="1310"/>
      <c r="F1" s="1310"/>
      <c r="G1" s="1310"/>
      <c r="H1" s="1310"/>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1243"/>
      <c r="AK1" s="1243"/>
      <c r="AL1" s="403"/>
      <c r="AM1" s="403"/>
      <c r="AN1" s="403"/>
      <c r="AO1" s="403"/>
      <c r="AP1" s="1243"/>
      <c r="AQ1" s="1243"/>
      <c r="AV1" s="1243"/>
      <c r="AW1" s="1243"/>
    </row>
    <row r="2" spans="1:79" ht="24" customHeight="1" thickBot="1">
      <c r="A2" s="403"/>
      <c r="B2" s="1904" t="s">
        <v>243</v>
      </c>
      <c r="C2" s="1904"/>
      <c r="D2" s="1904"/>
      <c r="E2" s="1904"/>
      <c r="F2" s="1904"/>
      <c r="G2" s="1904"/>
      <c r="H2" s="1904"/>
      <c r="I2" s="414"/>
      <c r="J2" s="1906">
        <v>2026</v>
      </c>
      <c r="K2" s="1906"/>
      <c r="L2" s="590"/>
      <c r="AF2" s="1365">
        <f t="shared" ref="AF2:AN2" si="0">AVERAGE(AF29:AF34)</f>
        <v>30.5</v>
      </c>
      <c r="AG2" s="1365">
        <f t="shared" si="0"/>
        <v>85.5</v>
      </c>
      <c r="AH2" s="1365">
        <f t="shared" si="0"/>
        <v>27</v>
      </c>
      <c r="AI2" s="1365">
        <f t="shared" si="0"/>
        <v>38.333333333333336</v>
      </c>
      <c r="AJ2" s="1365">
        <f t="shared" ref="AJ2:AK2" si="1">AVERAGE(AJ46:AJ51)</f>
        <v>53.074999999999996</v>
      </c>
      <c r="AK2" s="1365">
        <f t="shared" si="1"/>
        <v>47.216666666666669</v>
      </c>
      <c r="AL2" s="1365">
        <f t="shared" si="0"/>
        <v>484.48333333333335</v>
      </c>
      <c r="AM2" s="1365">
        <f t="shared" si="0"/>
        <v>151.69499999999999</v>
      </c>
      <c r="AN2" s="1365">
        <f t="shared" si="0"/>
        <v>217.33333333333334</v>
      </c>
      <c r="AO2" s="1046">
        <f>AVERAGE(AO29:AO34)</f>
        <v>70.5</v>
      </c>
      <c r="AP2" s="1365">
        <f t="shared" ref="AP2:AR2" si="2">AVERAGE(AP29:AP34)</f>
        <v>133.83333333333334</v>
      </c>
      <c r="AQ2" s="1365">
        <f t="shared" si="2"/>
        <v>569.58333333333337</v>
      </c>
      <c r="AR2" s="1365">
        <f t="shared" si="2"/>
        <v>183</v>
      </c>
      <c r="AS2" s="1365"/>
      <c r="AT2" s="1365"/>
      <c r="AU2" s="1365"/>
      <c r="AW2" s="1297"/>
    </row>
    <row r="3" spans="1:79" ht="14.25" customHeight="1" thickBot="1">
      <c r="A3" s="403"/>
      <c r="I3" s="693"/>
      <c r="J3" s="424"/>
      <c r="K3" s="424"/>
      <c r="M3" s="1360"/>
      <c r="N3" s="1360"/>
      <c r="O3" s="1360"/>
      <c r="P3" s="1360"/>
      <c r="Q3" s="1360"/>
      <c r="R3" s="1360"/>
      <c r="S3" s="1360"/>
      <c r="T3" s="1360"/>
      <c r="U3" s="1360"/>
      <c r="V3" s="1360"/>
      <c r="W3" s="1360"/>
      <c r="X3" s="1360"/>
      <c r="Y3" s="1360"/>
      <c r="Z3" s="1360"/>
      <c r="AA3" s="1360"/>
      <c r="AB3" s="1360"/>
      <c r="AC3" s="1360"/>
      <c r="AD3" s="1360"/>
      <c r="AE3" s="1304"/>
      <c r="AF3" s="1304">
        <v>10</v>
      </c>
      <c r="AG3" s="1304">
        <v>9</v>
      </c>
      <c r="AH3" s="1304">
        <v>8</v>
      </c>
      <c r="AI3" s="1304">
        <v>7</v>
      </c>
      <c r="AL3" s="1304">
        <v>6</v>
      </c>
      <c r="AM3" s="1304">
        <v>5</v>
      </c>
      <c r="AN3" s="1304">
        <v>4</v>
      </c>
      <c r="AO3" s="1304">
        <v>3</v>
      </c>
      <c r="AP3" s="1304">
        <v>2</v>
      </c>
      <c r="AQ3" s="1304">
        <v>1</v>
      </c>
      <c r="AR3" s="1661" t="s">
        <v>533</v>
      </c>
      <c r="AS3" s="1661"/>
      <c r="AT3" s="1661"/>
      <c r="AU3" s="1661"/>
      <c r="AV3" s="1546"/>
      <c r="AW3" s="1360"/>
    </row>
    <row r="4" spans="1:79" ht="18" customHeight="1" thickBot="1">
      <c r="A4" s="403"/>
      <c r="E4" s="1719" t="s">
        <v>540</v>
      </c>
      <c r="I4" s="782"/>
      <c r="J4" s="424"/>
      <c r="K4" s="424"/>
      <c r="L4" s="765" t="s">
        <v>283</v>
      </c>
      <c r="M4" s="424"/>
      <c r="N4" s="1317"/>
      <c r="O4" s="1307"/>
      <c r="P4" s="1307"/>
      <c r="Q4" s="1307"/>
      <c r="R4" s="1307"/>
      <c r="S4" s="1307"/>
      <c r="T4" s="1307"/>
      <c r="U4" s="1307"/>
      <c r="V4" s="1307"/>
      <c r="W4" s="1307"/>
      <c r="X4" s="1307"/>
      <c r="Y4" s="1307"/>
      <c r="Z4" s="1307"/>
      <c r="AA4" s="1307"/>
      <c r="AB4" s="1307"/>
      <c r="AC4" s="1307"/>
      <c r="AD4" s="1307"/>
      <c r="AE4" s="1307"/>
      <c r="AF4" s="1307"/>
      <c r="AG4" s="1307"/>
      <c r="AH4" s="726"/>
      <c r="AI4" s="726"/>
      <c r="AJ4" s="768"/>
      <c r="AK4" s="768"/>
      <c r="AL4" s="768">
        <v>43166</v>
      </c>
      <c r="AM4" s="768">
        <v>43159</v>
      </c>
      <c r="AN4" s="908">
        <v>43522</v>
      </c>
      <c r="AO4" s="1082">
        <v>44255</v>
      </c>
      <c r="AP4" s="1382"/>
      <c r="AQ4" s="1382"/>
      <c r="AU4" s="1764"/>
      <c r="AV4" s="1250"/>
      <c r="AW4" s="1319"/>
    </row>
    <row r="5" spans="1:79" ht="20.25" customHeight="1" thickBot="1">
      <c r="A5" s="403"/>
      <c r="B5" s="404"/>
      <c r="C5" s="420"/>
      <c r="D5" s="1249" t="s">
        <v>206</v>
      </c>
      <c r="E5" s="1547" t="s">
        <v>207</v>
      </c>
      <c r="F5" s="1909" t="s">
        <v>208</v>
      </c>
      <c r="G5" s="1909"/>
      <c r="H5" s="1910"/>
      <c r="I5" s="782"/>
      <c r="J5" s="424"/>
      <c r="K5" s="1905" t="s">
        <v>285</v>
      </c>
      <c r="L5" s="1905"/>
      <c r="M5" s="424"/>
      <c r="N5" s="424"/>
      <c r="O5" s="419"/>
      <c r="P5" s="419"/>
      <c r="Q5" s="419"/>
      <c r="R5" s="419"/>
      <c r="S5" s="419"/>
      <c r="T5" s="419"/>
      <c r="U5" s="419"/>
      <c r="V5" s="419"/>
      <c r="W5" s="419"/>
      <c r="X5" s="419"/>
      <c r="Y5" s="419"/>
      <c r="Z5" s="419"/>
      <c r="AA5" s="419"/>
      <c r="AB5" s="419"/>
      <c r="AC5" s="419"/>
      <c r="AD5" s="419"/>
      <c r="AE5" s="419"/>
      <c r="AF5" s="419"/>
      <c r="AG5" s="1320"/>
      <c r="AH5" s="1320"/>
      <c r="AI5" s="1320"/>
      <c r="AJ5" s="794">
        <v>43219</v>
      </c>
      <c r="AK5" s="794">
        <v>43210</v>
      </c>
      <c r="AL5" s="1321">
        <v>43950</v>
      </c>
      <c r="AM5" s="1321">
        <v>43942</v>
      </c>
      <c r="AN5" s="1321">
        <v>43947</v>
      </c>
      <c r="AO5" s="1321">
        <v>43948</v>
      </c>
      <c r="AP5" s="1321"/>
      <c r="AQ5" s="1321"/>
      <c r="AV5" s="1905"/>
      <c r="AW5" s="1905"/>
    </row>
    <row r="6" spans="1:79" ht="13.5" customHeight="1">
      <c r="A6" s="403"/>
      <c r="B6" s="405"/>
      <c r="C6" s="419"/>
      <c r="D6" s="1548">
        <v>2026</v>
      </c>
      <c r="E6" s="1907" t="s">
        <v>140</v>
      </c>
      <c r="F6" s="1742">
        <f>D6-5</f>
        <v>2021</v>
      </c>
      <c r="G6" s="1743" t="s">
        <v>209</v>
      </c>
      <c r="H6" s="1744">
        <f>D6-1</f>
        <v>2025</v>
      </c>
      <c r="I6" s="641">
        <f>$H$6-$F$6+1</f>
        <v>5</v>
      </c>
      <c r="J6" s="411"/>
      <c r="K6" s="1253"/>
      <c r="L6" s="1254"/>
      <c r="M6" s="1299">
        <v>1985</v>
      </c>
      <c r="N6" s="1255">
        <v>1986</v>
      </c>
      <c r="O6" s="1255">
        <v>1987</v>
      </c>
      <c r="P6" s="1255">
        <v>1988</v>
      </c>
      <c r="Q6" s="1255">
        <v>1989</v>
      </c>
      <c r="R6" s="1255">
        <v>1990</v>
      </c>
      <c r="S6" s="1255">
        <v>1991</v>
      </c>
      <c r="T6" s="1255">
        <v>1992</v>
      </c>
      <c r="U6" s="1255">
        <v>1993</v>
      </c>
      <c r="V6" s="1255">
        <v>1994</v>
      </c>
      <c r="W6" s="1255">
        <v>1995</v>
      </c>
      <c r="X6" s="1255">
        <v>1996</v>
      </c>
      <c r="Y6" s="1255">
        <v>1997</v>
      </c>
      <c r="Z6" s="1255">
        <v>1998</v>
      </c>
      <c r="AA6" s="1255">
        <v>1999</v>
      </c>
      <c r="AB6" s="1255">
        <v>2000</v>
      </c>
      <c r="AC6" s="1255">
        <v>2001</v>
      </c>
      <c r="AD6" s="1255">
        <v>2002</v>
      </c>
      <c r="AE6" s="1255">
        <v>2003</v>
      </c>
      <c r="AF6" s="1255">
        <v>2004</v>
      </c>
      <c r="AG6" s="1255">
        <v>2005</v>
      </c>
      <c r="AH6" s="1255">
        <v>2006</v>
      </c>
      <c r="AI6" s="1533">
        <v>2007</v>
      </c>
      <c r="AJ6" s="790">
        <v>2015</v>
      </c>
      <c r="AK6" s="791">
        <v>2016</v>
      </c>
      <c r="AL6" s="1258">
        <v>2017</v>
      </c>
      <c r="AM6" s="1257">
        <v>2018</v>
      </c>
      <c r="AN6" s="1256">
        <v>2019</v>
      </c>
      <c r="AO6" s="1326">
        <v>2020</v>
      </c>
      <c r="AP6" s="1326">
        <v>2021</v>
      </c>
      <c r="AQ6" s="1326">
        <v>2022</v>
      </c>
      <c r="AR6" s="1326">
        <v>2023</v>
      </c>
      <c r="AS6" s="1326">
        <v>2024</v>
      </c>
      <c r="AT6" s="1326">
        <v>2025</v>
      </c>
      <c r="AU6" s="1326">
        <v>2026</v>
      </c>
      <c r="AV6" s="1253"/>
      <c r="AW6" s="1254"/>
      <c r="AX6" s="1662"/>
      <c r="AY6" s="1571"/>
      <c r="AZ6" s="1571"/>
      <c r="BA6" s="1571"/>
      <c r="BB6" s="1571"/>
      <c r="BC6" s="1571"/>
      <c r="BD6" s="1248"/>
    </row>
    <row r="7" spans="1:79" ht="14.5" thickBot="1">
      <c r="A7" s="403"/>
      <c r="B7" s="1244"/>
      <c r="C7" s="419"/>
      <c r="D7" s="1721" t="s">
        <v>543</v>
      </c>
      <c r="E7" s="1908"/>
      <c r="F7" s="1911">
        <f>IF(OR(ISBLANK($F$6),ISBLANK($H$6)),"　ヶ年平均",$H$6-$F$6+1)</f>
        <v>5</v>
      </c>
      <c r="G7" s="1911"/>
      <c r="H7" s="1912"/>
      <c r="I7" s="697"/>
      <c r="J7" s="444"/>
      <c r="K7" s="1245"/>
      <c r="L7" s="1259"/>
      <c r="M7" s="1279" t="s">
        <v>245</v>
      </c>
      <c r="N7" s="1284" t="s">
        <v>246</v>
      </c>
      <c r="O7" s="1260" t="s">
        <v>247</v>
      </c>
      <c r="P7" s="1260" t="s">
        <v>248</v>
      </c>
      <c r="Q7" s="1260" t="s">
        <v>249</v>
      </c>
      <c r="R7" s="1260" t="s">
        <v>250</v>
      </c>
      <c r="S7" s="1260" t="s">
        <v>251</v>
      </c>
      <c r="T7" s="1260" t="s">
        <v>252</v>
      </c>
      <c r="U7" s="1260" t="s">
        <v>253</v>
      </c>
      <c r="V7" s="1260" t="s">
        <v>254</v>
      </c>
      <c r="W7" s="1260" t="s">
        <v>255</v>
      </c>
      <c r="X7" s="1260" t="s">
        <v>256</v>
      </c>
      <c r="Y7" s="1260" t="s">
        <v>257</v>
      </c>
      <c r="Z7" s="1260" t="s">
        <v>258</v>
      </c>
      <c r="AA7" s="1260" t="s">
        <v>259</v>
      </c>
      <c r="AB7" s="1260" t="s">
        <v>260</v>
      </c>
      <c r="AC7" s="1260" t="s">
        <v>261</v>
      </c>
      <c r="AD7" s="1260" t="s">
        <v>262</v>
      </c>
      <c r="AE7" s="1260" t="s">
        <v>263</v>
      </c>
      <c r="AF7" s="1260" t="s">
        <v>264</v>
      </c>
      <c r="AG7" s="1260" t="s">
        <v>265</v>
      </c>
      <c r="AH7" s="1260" t="s">
        <v>266</v>
      </c>
      <c r="AI7" s="1280" t="s">
        <v>267</v>
      </c>
      <c r="AJ7" s="1260" t="s">
        <v>216</v>
      </c>
      <c r="AK7" s="784" t="s">
        <v>217</v>
      </c>
      <c r="AL7" s="1318" t="s">
        <v>270</v>
      </c>
      <c r="AM7" s="1334" t="s">
        <v>308</v>
      </c>
      <c r="AN7" s="1350" t="s">
        <v>315</v>
      </c>
      <c r="AO7" s="1383" t="s">
        <v>326</v>
      </c>
      <c r="AP7" s="1383" t="s">
        <v>329</v>
      </c>
      <c r="AQ7" s="1383" t="s">
        <v>330</v>
      </c>
      <c r="AR7" s="1383" t="s">
        <v>478</v>
      </c>
      <c r="AS7" s="1383" t="s">
        <v>332</v>
      </c>
      <c r="AT7" s="1383" t="s">
        <v>537</v>
      </c>
      <c r="AU7" s="1383" t="s">
        <v>543</v>
      </c>
      <c r="AV7" s="1245"/>
      <c r="AW7" s="1259"/>
      <c r="AX7" s="1277"/>
      <c r="AY7" s="1277"/>
      <c r="AZ7" s="1400"/>
      <c r="BA7" s="1400"/>
      <c r="BB7" s="1400"/>
      <c r="BC7" s="1400"/>
      <c r="BD7" s="1400"/>
    </row>
    <row r="8" spans="1:79" ht="13.5" customHeight="1">
      <c r="A8" s="403"/>
      <c r="B8" s="1246"/>
      <c r="C8" s="1286" t="s">
        <v>189</v>
      </c>
      <c r="D8" s="1323">
        <f>AU8</f>
        <v>0</v>
      </c>
      <c r="E8" s="1610">
        <f>AVERAGE(AK8:AT8)</f>
        <v>0.125</v>
      </c>
      <c r="F8" s="1745"/>
      <c r="G8" s="1746"/>
      <c r="H8" s="1747"/>
      <c r="I8" s="703"/>
      <c r="J8" s="1718"/>
      <c r="K8" s="1247"/>
      <c r="L8" s="1271" t="s">
        <v>300</v>
      </c>
      <c r="M8" s="1526"/>
      <c r="N8" s="1528"/>
      <c r="O8" s="1527"/>
      <c r="P8" s="1528"/>
      <c r="Q8" s="1528"/>
      <c r="R8" s="1528"/>
      <c r="S8" s="1528"/>
      <c r="T8" s="1528"/>
      <c r="U8" s="1528"/>
      <c r="V8" s="1528"/>
      <c r="W8" s="1528"/>
      <c r="X8" s="1528"/>
      <c r="Y8" s="1528"/>
      <c r="Z8" s="1528"/>
      <c r="AA8" s="1528"/>
      <c r="AB8" s="1528"/>
      <c r="AC8" s="1528"/>
      <c r="AD8" s="1528"/>
      <c r="AE8" s="1528"/>
      <c r="AF8" s="1528"/>
      <c r="AG8" s="1528"/>
      <c r="AH8" s="1528"/>
      <c r="AI8" s="1254"/>
      <c r="AJ8" s="795">
        <v>0</v>
      </c>
      <c r="AK8" s="785">
        <v>0</v>
      </c>
      <c r="AL8" s="1523"/>
      <c r="AM8" s="1335"/>
      <c r="AN8" s="1351">
        <v>0</v>
      </c>
      <c r="AO8" s="1384">
        <v>0</v>
      </c>
      <c r="AP8" s="1384">
        <v>0</v>
      </c>
      <c r="AQ8" s="1384">
        <v>0</v>
      </c>
      <c r="AR8" s="1393">
        <v>0</v>
      </c>
      <c r="AS8" s="1393">
        <v>0</v>
      </c>
      <c r="AT8" s="1393">
        <v>1</v>
      </c>
      <c r="AU8" s="1349">
        <f>フェロモントラップ野帳!$G$10</f>
        <v>0</v>
      </c>
      <c r="AV8" s="1247"/>
      <c r="AW8" s="1271" t="s">
        <v>300</v>
      </c>
      <c r="AX8" s="403"/>
    </row>
    <row r="9" spans="1:79" ht="13.5" customHeight="1">
      <c r="A9" s="403"/>
      <c r="B9" s="1247"/>
      <c r="C9" s="1264" t="s">
        <v>190</v>
      </c>
      <c r="D9" s="1270">
        <f>AU9</f>
        <v>0</v>
      </c>
      <c r="E9" s="1611">
        <f t="shared" ref="E9:E61" si="3">AVERAGE(AK9:AT9)</f>
        <v>1.625</v>
      </c>
      <c r="F9" s="1748"/>
      <c r="G9" s="1749"/>
      <c r="H9" s="1750"/>
      <c r="I9" s="703"/>
      <c r="J9" s="1718"/>
      <c r="K9" s="1247"/>
      <c r="L9" s="1274" t="s">
        <v>301</v>
      </c>
      <c r="M9" s="1529"/>
      <c r="N9" s="1309"/>
      <c r="O9" s="1530"/>
      <c r="P9" s="1309"/>
      <c r="Q9" s="1309"/>
      <c r="R9" s="1309"/>
      <c r="S9" s="1309"/>
      <c r="T9" s="1309"/>
      <c r="U9" s="1309"/>
      <c r="V9" s="1309"/>
      <c r="W9" s="1309"/>
      <c r="X9" s="1309"/>
      <c r="Y9" s="1309"/>
      <c r="Z9" s="1309"/>
      <c r="AA9" s="1309"/>
      <c r="AB9" s="1309"/>
      <c r="AC9" s="1309"/>
      <c r="AD9" s="1309"/>
      <c r="AE9" s="1309"/>
      <c r="AF9" s="1309"/>
      <c r="AG9" s="1309"/>
      <c r="AH9" s="1309"/>
      <c r="AI9" s="1274"/>
      <c r="AJ9" s="796">
        <v>0</v>
      </c>
      <c r="AK9" s="786">
        <v>9</v>
      </c>
      <c r="AL9" s="1524"/>
      <c r="AM9" s="1336"/>
      <c r="AN9" s="1352">
        <v>0</v>
      </c>
      <c r="AO9" s="1385">
        <v>3</v>
      </c>
      <c r="AP9" s="1385">
        <v>0</v>
      </c>
      <c r="AQ9" s="1385">
        <v>0</v>
      </c>
      <c r="AR9" s="1389">
        <v>1</v>
      </c>
      <c r="AS9" s="1389">
        <v>0</v>
      </c>
      <c r="AT9" s="1389">
        <v>0</v>
      </c>
      <c r="AU9" s="1345">
        <f>フェロモントラップ野帳!$G$15</f>
        <v>0</v>
      </c>
      <c r="AV9" s="1247"/>
      <c r="AW9" s="1274" t="s">
        <v>301</v>
      </c>
      <c r="AX9" s="1570"/>
      <c r="AY9" s="1248"/>
    </row>
    <row r="10" spans="1:79" ht="13.5" customHeight="1">
      <c r="A10" s="403"/>
      <c r="B10" s="1247" t="s">
        <v>191</v>
      </c>
      <c r="C10" s="1264" t="s">
        <v>192</v>
      </c>
      <c r="D10" s="1270">
        <f t="shared" ref="D10:D61" si="4">AU10</f>
        <v>0</v>
      </c>
      <c r="E10" s="1611">
        <f t="shared" si="3"/>
        <v>1.0535714285714286</v>
      </c>
      <c r="F10" s="1748"/>
      <c r="G10" s="1749"/>
      <c r="H10" s="1750"/>
      <c r="I10" s="703"/>
      <c r="J10" s="1718"/>
      <c r="K10" s="1247" t="s">
        <v>286</v>
      </c>
      <c r="L10" s="1274" t="s">
        <v>302</v>
      </c>
      <c r="M10" s="1529"/>
      <c r="N10" s="1309"/>
      <c r="O10" s="1530"/>
      <c r="P10" s="1309"/>
      <c r="Q10" s="1309"/>
      <c r="R10" s="1309"/>
      <c r="S10" s="1309"/>
      <c r="T10" s="1309"/>
      <c r="U10" s="1309"/>
      <c r="V10" s="1309"/>
      <c r="W10" s="1309"/>
      <c r="X10" s="1309"/>
      <c r="Y10" s="1309"/>
      <c r="Z10" s="1309"/>
      <c r="AA10" s="1309"/>
      <c r="AB10" s="1309"/>
      <c r="AC10" s="1309"/>
      <c r="AD10" s="1309"/>
      <c r="AE10" s="1309"/>
      <c r="AF10" s="1309"/>
      <c r="AG10" s="1309"/>
      <c r="AH10" s="1309"/>
      <c r="AI10" s="1534"/>
      <c r="AJ10" s="796">
        <v>0</v>
      </c>
      <c r="AK10" s="786">
        <v>1</v>
      </c>
      <c r="AL10" s="1524"/>
      <c r="AM10" s="1336"/>
      <c r="AN10" s="1352">
        <v>0</v>
      </c>
      <c r="AO10" s="1385">
        <v>1</v>
      </c>
      <c r="AP10" s="1385">
        <v>0</v>
      </c>
      <c r="AQ10" s="1385">
        <v>5</v>
      </c>
      <c r="AR10" s="1389">
        <v>0</v>
      </c>
      <c r="AS10" s="1389">
        <v>0.71428571428571419</v>
      </c>
      <c r="AT10" s="1389">
        <v>0.71428571428571419</v>
      </c>
      <c r="AU10" s="1345">
        <f>フェロモントラップ野帳!$G$20</f>
        <v>0</v>
      </c>
      <c r="AV10" s="1247" t="s">
        <v>286</v>
      </c>
      <c r="AW10" s="1274" t="s">
        <v>302</v>
      </c>
      <c r="AX10" s="403"/>
      <c r="AY10" s="1248"/>
    </row>
    <row r="11" spans="1:79" ht="13.5" customHeight="1">
      <c r="A11" s="403"/>
      <c r="B11" s="1247"/>
      <c r="C11" s="1264" t="s">
        <v>193</v>
      </c>
      <c r="D11" s="1270">
        <f t="shared" si="4"/>
        <v>0.7142857142857143</v>
      </c>
      <c r="E11" s="1611">
        <f t="shared" si="3"/>
        <v>2.2675000000000001</v>
      </c>
      <c r="F11" s="1748"/>
      <c r="G11" s="1749"/>
      <c r="H11" s="1750"/>
      <c r="I11" s="703"/>
      <c r="J11" s="1718"/>
      <c r="K11" s="1247"/>
      <c r="L11" s="1274" t="s">
        <v>303</v>
      </c>
      <c r="M11" s="1529"/>
      <c r="N11" s="1309"/>
      <c r="O11" s="1530"/>
      <c r="P11" s="1309"/>
      <c r="Q11" s="1309"/>
      <c r="R11" s="1309"/>
      <c r="S11" s="1309"/>
      <c r="T11" s="1309"/>
      <c r="U11" s="1309"/>
      <c r="V11" s="1309"/>
      <c r="W11" s="1309"/>
      <c r="X11" s="1309"/>
      <c r="Y11" s="1309"/>
      <c r="Z11" s="1309"/>
      <c r="AA11" s="1309"/>
      <c r="AB11" s="1309"/>
      <c r="AC11" s="1309"/>
      <c r="AD11" s="1309"/>
      <c r="AE11" s="1309"/>
      <c r="AF11" s="1309"/>
      <c r="AG11" s="1309"/>
      <c r="AH11" s="1309"/>
      <c r="AI11" s="1274"/>
      <c r="AJ11" s="796">
        <v>1</v>
      </c>
      <c r="AK11" s="786">
        <v>4</v>
      </c>
      <c r="AL11" s="1524"/>
      <c r="AM11" s="1336"/>
      <c r="AN11" s="1352">
        <v>0</v>
      </c>
      <c r="AO11" s="1385">
        <v>2.14</v>
      </c>
      <c r="AP11" s="1385">
        <v>2</v>
      </c>
      <c r="AQ11" s="1385">
        <v>5</v>
      </c>
      <c r="AR11" s="1389">
        <v>5</v>
      </c>
      <c r="AS11" s="1389">
        <v>0</v>
      </c>
      <c r="AT11" s="1389">
        <v>0</v>
      </c>
      <c r="AU11" s="1345">
        <f>フェロモントラップ野帳!$G$25</f>
        <v>0.7142857142857143</v>
      </c>
      <c r="AV11" s="1247"/>
      <c r="AW11" s="1274" t="s">
        <v>303</v>
      </c>
      <c r="AX11" s="403"/>
      <c r="AY11" s="1248"/>
      <c r="AZ11" s="741"/>
      <c r="BA11" s="403"/>
      <c r="BB11" s="403"/>
      <c r="BC11" s="403"/>
      <c r="BD11" s="403"/>
      <c r="BE11" s="403"/>
      <c r="BF11" s="741"/>
      <c r="BG11" s="741"/>
      <c r="BH11" s="741"/>
      <c r="BI11" s="741"/>
      <c r="BJ11" s="741"/>
      <c r="BK11" s="741"/>
      <c r="BL11" s="741"/>
      <c r="BM11" s="741"/>
      <c r="BN11" s="741"/>
      <c r="BO11" s="741"/>
      <c r="BP11" s="741"/>
      <c r="BQ11" s="741"/>
      <c r="BR11" s="741"/>
      <c r="BS11" s="741"/>
      <c r="BT11" s="741"/>
    </row>
    <row r="12" spans="1:79" ht="13.5" customHeight="1">
      <c r="A12" s="403"/>
      <c r="B12" s="1247"/>
      <c r="C12" s="1264" t="s">
        <v>194</v>
      </c>
      <c r="D12" s="1270">
        <f t="shared" si="4"/>
        <v>0.2857142857142857</v>
      </c>
      <c r="E12" s="1611">
        <f t="shared" si="3"/>
        <v>2.4716666666666667</v>
      </c>
      <c r="F12" s="1748"/>
      <c r="G12" s="1749"/>
      <c r="H12" s="1750"/>
      <c r="I12" s="703"/>
      <c r="J12" s="1718"/>
      <c r="K12" s="1247"/>
      <c r="L12" s="1274" t="s">
        <v>304</v>
      </c>
      <c r="M12" s="1529"/>
      <c r="N12" s="1309"/>
      <c r="O12" s="1530"/>
      <c r="P12" s="1309"/>
      <c r="Q12" s="1309"/>
      <c r="R12" s="1309"/>
      <c r="S12" s="1309"/>
      <c r="T12" s="1309"/>
      <c r="U12" s="1309"/>
      <c r="V12" s="1309"/>
      <c r="W12" s="1309"/>
      <c r="X12" s="1309"/>
      <c r="Y12" s="1309"/>
      <c r="Z12" s="1309"/>
      <c r="AA12" s="1309"/>
      <c r="AB12" s="1309"/>
      <c r="AC12" s="1309"/>
      <c r="AD12" s="1309"/>
      <c r="AE12" s="1309"/>
      <c r="AF12" s="1309"/>
      <c r="AG12" s="1309"/>
      <c r="AH12" s="1309"/>
      <c r="AI12" s="1534"/>
      <c r="AJ12" s="796">
        <v>0</v>
      </c>
      <c r="AK12" s="786">
        <v>6.25</v>
      </c>
      <c r="AL12" s="1524"/>
      <c r="AM12" s="1336"/>
      <c r="AN12" s="1352">
        <v>0</v>
      </c>
      <c r="AO12" s="1386">
        <v>0.86</v>
      </c>
      <c r="AP12" s="1386">
        <v>1.33</v>
      </c>
      <c r="AQ12" s="1386">
        <v>5</v>
      </c>
      <c r="AR12" s="1389">
        <v>2.5</v>
      </c>
      <c r="AS12" s="1389">
        <v>0.83333333333333326</v>
      </c>
      <c r="AT12" s="1389">
        <v>3</v>
      </c>
      <c r="AU12" s="1345">
        <f>フェロモントラップ野帳!$G$30</f>
        <v>0.2857142857142857</v>
      </c>
      <c r="AV12" s="1247"/>
      <c r="AW12" s="1274" t="s">
        <v>304</v>
      </c>
      <c r="AX12" s="403"/>
      <c r="AY12" s="1248"/>
    </row>
    <row r="13" spans="1:79" ht="13.5" customHeight="1" thickBot="1">
      <c r="A13" s="403"/>
      <c r="B13" s="1267"/>
      <c r="C13" s="1261" t="s">
        <v>195</v>
      </c>
      <c r="D13" s="1300">
        <f t="shared" si="4"/>
        <v>8</v>
      </c>
      <c r="E13" s="1608">
        <f t="shared" si="3"/>
        <v>15.2</v>
      </c>
      <c r="F13" s="1751"/>
      <c r="G13" s="1752"/>
      <c r="H13" s="1753"/>
      <c r="I13" s="703"/>
      <c r="J13" s="1718"/>
      <c r="K13" s="1267"/>
      <c r="L13" s="1280" t="s">
        <v>305</v>
      </c>
      <c r="M13" s="1531"/>
      <c r="N13" s="1260"/>
      <c r="O13" s="1298"/>
      <c r="P13" s="1260"/>
      <c r="Q13" s="1260"/>
      <c r="R13" s="1260"/>
      <c r="S13" s="1260"/>
      <c r="T13" s="1260"/>
      <c r="U13" s="1260"/>
      <c r="V13" s="1260"/>
      <c r="W13" s="1260"/>
      <c r="X13" s="1260"/>
      <c r="Y13" s="1260"/>
      <c r="Z13" s="1260"/>
      <c r="AA13" s="1260"/>
      <c r="AB13" s="1260"/>
      <c r="AC13" s="1260"/>
      <c r="AD13" s="1260"/>
      <c r="AE13" s="1260"/>
      <c r="AF13" s="1260"/>
      <c r="AG13" s="1260"/>
      <c r="AH13" s="1260"/>
      <c r="AI13" s="1280"/>
      <c r="AJ13" s="797">
        <v>1</v>
      </c>
      <c r="AK13" s="787">
        <v>8.1</v>
      </c>
      <c r="AL13" s="1525"/>
      <c r="AM13" s="1337"/>
      <c r="AN13" s="1353">
        <v>1</v>
      </c>
      <c r="AO13" s="1387">
        <v>6</v>
      </c>
      <c r="AP13" s="1387">
        <v>29</v>
      </c>
      <c r="AQ13" s="1387">
        <v>6</v>
      </c>
      <c r="AR13" s="1390">
        <v>38.5</v>
      </c>
      <c r="AS13" s="1390">
        <v>33</v>
      </c>
      <c r="AT13" s="1390">
        <v>0</v>
      </c>
      <c r="AU13" s="1346">
        <f>フェロモントラップ野帳!$G$36</f>
        <v>8</v>
      </c>
      <c r="AV13" s="1267"/>
      <c r="AW13" s="1280" t="s">
        <v>305</v>
      </c>
      <c r="AX13" s="403"/>
      <c r="AY13" s="1248"/>
      <c r="AZ13" s="403"/>
      <c r="BA13" s="403"/>
      <c r="BB13" s="403"/>
      <c r="BC13" s="403"/>
      <c r="BD13" s="403"/>
      <c r="BE13" s="403"/>
      <c r="BF13" s="403"/>
      <c r="BG13" s="403"/>
      <c r="BH13" s="403"/>
      <c r="BI13" s="403"/>
      <c r="BJ13" s="403"/>
      <c r="BK13" s="403"/>
      <c r="BL13" s="403"/>
      <c r="BM13" s="403"/>
      <c r="BN13" s="403"/>
      <c r="BO13" s="403"/>
      <c r="BP13" s="403"/>
      <c r="BQ13" s="403"/>
      <c r="BR13" s="403"/>
      <c r="BS13" s="403"/>
      <c r="BT13" s="403"/>
    </row>
    <row r="14" spans="1:79" ht="13.5" customHeight="1">
      <c r="A14" s="403"/>
      <c r="B14" s="1247"/>
      <c r="C14" s="450" t="s">
        <v>189</v>
      </c>
      <c r="D14" s="1270">
        <f t="shared" si="4"/>
        <v>23</v>
      </c>
      <c r="E14" s="779">
        <f t="shared" si="3"/>
        <v>60.227407407407405</v>
      </c>
      <c r="F14" s="1754"/>
      <c r="G14" s="1754"/>
      <c r="H14" s="1755" t="e">
        <f ca="1">IF(OR(ISBLANK($F$6),ISBLANK($H$6)),-20,AVERAGE(OFFSET($M14,0,$F$6-1985,1,$H$6-$F$6+1)))</f>
        <v>#DIV/0!</v>
      </c>
      <c r="I14" s="713"/>
      <c r="J14" s="1718"/>
      <c r="K14" s="1253"/>
      <c r="L14" s="1271" t="s">
        <v>300</v>
      </c>
      <c r="M14" s="1535">
        <v>0</v>
      </c>
      <c r="N14" s="1282">
        <v>0</v>
      </c>
      <c r="O14" s="1301">
        <v>0</v>
      </c>
      <c r="P14" s="1262">
        <v>0</v>
      </c>
      <c r="Q14" s="1262">
        <v>0</v>
      </c>
      <c r="R14" s="1262">
        <v>0</v>
      </c>
      <c r="S14" s="1262">
        <v>2</v>
      </c>
      <c r="T14" s="1262">
        <v>1</v>
      </c>
      <c r="U14" s="1262">
        <v>19</v>
      </c>
      <c r="V14" s="1262">
        <v>0</v>
      </c>
      <c r="W14" s="1262">
        <v>0</v>
      </c>
      <c r="X14" s="1262">
        <v>0</v>
      </c>
      <c r="Y14" s="1262">
        <v>2</v>
      </c>
      <c r="Z14" s="1262">
        <v>0</v>
      </c>
      <c r="AA14" s="1262">
        <v>1</v>
      </c>
      <c r="AB14" s="1262">
        <v>0</v>
      </c>
      <c r="AC14" s="1272">
        <v>0</v>
      </c>
      <c r="AD14" s="1272">
        <v>5</v>
      </c>
      <c r="AE14" s="1272">
        <v>0</v>
      </c>
      <c r="AF14" s="1272">
        <v>1</v>
      </c>
      <c r="AG14" s="1272">
        <v>0</v>
      </c>
      <c r="AH14" s="1272">
        <v>0</v>
      </c>
      <c r="AI14" s="1536">
        <v>4</v>
      </c>
      <c r="AJ14" s="486">
        <v>2.5</v>
      </c>
      <c r="AK14" s="519">
        <v>37</v>
      </c>
      <c r="AL14" s="1330"/>
      <c r="AM14" s="1338">
        <v>9.5</v>
      </c>
      <c r="AN14" s="1354">
        <v>6.88</v>
      </c>
      <c r="AO14" s="1388">
        <v>8</v>
      </c>
      <c r="AP14" s="1388">
        <v>81</v>
      </c>
      <c r="AQ14" s="1388">
        <v>4</v>
      </c>
      <c r="AR14" s="1388">
        <v>219</v>
      </c>
      <c r="AS14" s="1388">
        <v>175</v>
      </c>
      <c r="AT14" s="1388">
        <v>1.6666666666666665</v>
      </c>
      <c r="AU14" s="1344">
        <f>フェロモントラップ野帳!$G$50</f>
        <v>23</v>
      </c>
      <c r="AV14" s="1253"/>
      <c r="AW14" s="1271" t="s">
        <v>300</v>
      </c>
      <c r="AX14" s="403"/>
      <c r="AY14" s="1248"/>
      <c r="AZ14" s="403"/>
      <c r="BA14" s="403"/>
      <c r="BB14" s="403"/>
      <c r="BC14" s="403"/>
      <c r="BD14" s="403"/>
      <c r="BE14" s="403"/>
      <c r="BF14" s="403"/>
      <c r="BG14" s="403"/>
      <c r="BH14" s="403"/>
      <c r="BI14" s="403"/>
      <c r="BJ14" s="403"/>
      <c r="BK14" s="403"/>
      <c r="BL14" s="403"/>
      <c r="BM14" s="403"/>
      <c r="BN14" s="403"/>
      <c r="BO14" s="403"/>
      <c r="BP14" s="403"/>
      <c r="BQ14" s="403"/>
      <c r="BR14" s="403"/>
      <c r="BS14" s="403"/>
      <c r="BT14" s="403"/>
      <c r="BU14" s="403"/>
      <c r="BV14" s="403"/>
      <c r="BW14" s="403"/>
      <c r="BX14" s="403"/>
      <c r="BY14" s="403"/>
      <c r="BZ14" s="403"/>
      <c r="CA14" s="403"/>
    </row>
    <row r="15" spans="1:79" ht="13.5" customHeight="1">
      <c r="A15" s="403"/>
      <c r="B15" s="1247"/>
      <c r="C15" s="1264" t="s">
        <v>190</v>
      </c>
      <c r="D15" s="1270">
        <f t="shared" si="4"/>
        <v>95</v>
      </c>
      <c r="E15" s="1611">
        <f t="shared" si="3"/>
        <v>83.135925925925932</v>
      </c>
      <c r="F15" s="1756"/>
      <c r="G15" s="1756"/>
      <c r="H15" s="1757" t="e">
        <f t="shared" ref="H15:H61" ca="1" si="5">IF(OR(ISBLANK($F$6),ISBLANK($H$6)),-20,AVERAGE(OFFSET($M15,0,$F$6-1985,1,$H$6-$F$6+1)))</f>
        <v>#DIV/0!</v>
      </c>
      <c r="I15" s="715"/>
      <c r="J15" s="1718"/>
      <c r="K15" s="1273"/>
      <c r="L15" s="1274" t="s">
        <v>301</v>
      </c>
      <c r="M15" s="1537">
        <v>0</v>
      </c>
      <c r="N15" s="1265">
        <v>0</v>
      </c>
      <c r="O15" s="1302">
        <v>4</v>
      </c>
      <c r="P15" s="1265">
        <v>0</v>
      </c>
      <c r="Q15" s="1265">
        <v>0</v>
      </c>
      <c r="R15" s="1265">
        <v>1</v>
      </c>
      <c r="S15" s="1265">
        <v>17</v>
      </c>
      <c r="T15" s="1265">
        <v>6</v>
      </c>
      <c r="U15" s="1265">
        <v>0</v>
      </c>
      <c r="V15" s="1265">
        <v>0</v>
      </c>
      <c r="W15" s="1265">
        <v>1</v>
      </c>
      <c r="X15" s="1265">
        <v>0</v>
      </c>
      <c r="Y15" s="1265">
        <v>11</v>
      </c>
      <c r="Z15" s="1265">
        <v>25</v>
      </c>
      <c r="AA15" s="1265">
        <v>1</v>
      </c>
      <c r="AB15" s="1265">
        <v>0</v>
      </c>
      <c r="AC15" s="1275">
        <v>1</v>
      </c>
      <c r="AD15" s="1275">
        <v>13</v>
      </c>
      <c r="AE15" s="1275">
        <v>0</v>
      </c>
      <c r="AF15" s="1275">
        <v>26</v>
      </c>
      <c r="AG15" s="1275">
        <v>7</v>
      </c>
      <c r="AH15" s="1275">
        <v>0</v>
      </c>
      <c r="AI15" s="1538">
        <v>2</v>
      </c>
      <c r="AJ15" s="493">
        <v>1.5</v>
      </c>
      <c r="AK15" s="493">
        <v>93.3</v>
      </c>
      <c r="AL15" s="1322"/>
      <c r="AM15" s="1339">
        <v>15.8</v>
      </c>
      <c r="AN15" s="1355">
        <v>4.13</v>
      </c>
      <c r="AO15" s="1389">
        <v>17.86</v>
      </c>
      <c r="AP15" s="1389">
        <v>180.8</v>
      </c>
      <c r="AQ15" s="1389">
        <v>92</v>
      </c>
      <c r="AR15" s="1389">
        <v>104</v>
      </c>
      <c r="AS15" s="1389">
        <v>236</v>
      </c>
      <c r="AT15" s="1389">
        <v>4.333333333333333</v>
      </c>
      <c r="AU15" s="1345">
        <f>フェロモントラップ野帳!$G$55</f>
        <v>95</v>
      </c>
      <c r="AV15" s="1273"/>
      <c r="AW15" s="1274" t="s">
        <v>301</v>
      </c>
      <c r="AX15" s="403"/>
      <c r="AY15" s="1248"/>
      <c r="AZ15" s="403"/>
      <c r="BA15" s="403"/>
      <c r="BB15" s="403"/>
      <c r="BC15" s="403"/>
      <c r="BD15" s="403"/>
      <c r="BE15" s="403"/>
      <c r="BF15" s="403"/>
      <c r="BG15" s="403"/>
      <c r="BH15" s="403"/>
      <c r="BI15" s="403"/>
      <c r="BJ15" s="403"/>
      <c r="BK15" s="403"/>
      <c r="BL15" s="403"/>
      <c r="BM15" s="403"/>
      <c r="BN15" s="403"/>
      <c r="BO15" s="403"/>
      <c r="BP15" s="403"/>
      <c r="BQ15" s="403"/>
      <c r="BR15" s="403"/>
      <c r="BS15" s="403"/>
      <c r="BT15" s="403"/>
      <c r="BU15" s="403"/>
      <c r="BV15" s="403"/>
      <c r="BW15" s="403"/>
      <c r="BX15" s="403"/>
      <c r="BY15" s="403"/>
      <c r="BZ15" s="403"/>
      <c r="CA15" s="403"/>
    </row>
    <row r="16" spans="1:79" ht="13.5" customHeight="1">
      <c r="A16" s="403"/>
      <c r="B16" s="1247" t="s">
        <v>196</v>
      </c>
      <c r="C16" s="1264" t="s">
        <v>192</v>
      </c>
      <c r="D16" s="1270">
        <f t="shared" si="4"/>
        <v>273.33333333333331</v>
      </c>
      <c r="E16" s="1611">
        <f t="shared" si="3"/>
        <v>288.90444444444449</v>
      </c>
      <c r="F16" s="1756"/>
      <c r="G16" s="1756"/>
      <c r="H16" s="1757" t="e">
        <f t="shared" ca="1" si="5"/>
        <v>#DIV/0!</v>
      </c>
      <c r="I16" s="715"/>
      <c r="J16" s="1718"/>
      <c r="K16" s="1273" t="s">
        <v>287</v>
      </c>
      <c r="L16" s="1274" t="s">
        <v>302</v>
      </c>
      <c r="M16" s="1537">
        <v>0</v>
      </c>
      <c r="N16" s="1265">
        <v>0</v>
      </c>
      <c r="O16" s="1302">
        <v>6</v>
      </c>
      <c r="P16" s="1265">
        <v>6</v>
      </c>
      <c r="Q16" s="1265">
        <v>62</v>
      </c>
      <c r="R16" s="1265">
        <v>15</v>
      </c>
      <c r="S16" s="1265">
        <v>65</v>
      </c>
      <c r="T16" s="1265">
        <v>1</v>
      </c>
      <c r="U16" s="1265">
        <v>4</v>
      </c>
      <c r="V16" s="1265">
        <v>4</v>
      </c>
      <c r="W16" s="1265">
        <v>4</v>
      </c>
      <c r="X16" s="1265">
        <v>0</v>
      </c>
      <c r="Y16" s="1265">
        <v>44</v>
      </c>
      <c r="Z16" s="1265">
        <v>103</v>
      </c>
      <c r="AA16" s="1265">
        <v>3</v>
      </c>
      <c r="AB16" s="1265">
        <v>1</v>
      </c>
      <c r="AC16" s="1275">
        <v>6</v>
      </c>
      <c r="AD16" s="1275">
        <v>11</v>
      </c>
      <c r="AE16" s="1275">
        <v>0</v>
      </c>
      <c r="AF16" s="1275">
        <v>56</v>
      </c>
      <c r="AG16" s="1275">
        <v>2</v>
      </c>
      <c r="AH16" s="1275">
        <v>3</v>
      </c>
      <c r="AI16" s="1538">
        <v>19</v>
      </c>
      <c r="AJ16" s="493">
        <v>8</v>
      </c>
      <c r="AK16" s="493">
        <v>191.8</v>
      </c>
      <c r="AL16" s="1322"/>
      <c r="AM16" s="1339">
        <v>78</v>
      </c>
      <c r="AN16" s="1355">
        <v>10</v>
      </c>
      <c r="AO16" s="1389">
        <v>44.14</v>
      </c>
      <c r="AP16" s="1389">
        <v>701.2</v>
      </c>
      <c r="AQ16" s="1389">
        <v>472</v>
      </c>
      <c r="AR16" s="1389">
        <v>525</v>
      </c>
      <c r="AS16" s="1389">
        <v>552</v>
      </c>
      <c r="AT16" s="1389">
        <v>26</v>
      </c>
      <c r="AU16" s="1345">
        <f>フェロモントラップ野帳!$G$60</f>
        <v>273.33333333333331</v>
      </c>
      <c r="AV16" s="1273" t="s">
        <v>196</v>
      </c>
      <c r="AW16" s="1274" t="s">
        <v>302</v>
      </c>
      <c r="AX16" s="403"/>
      <c r="AY16" s="1248"/>
      <c r="AZ16" s="1243"/>
      <c r="BA16" s="403"/>
      <c r="BB16" s="403"/>
      <c r="BC16" s="403"/>
      <c r="BD16" s="403"/>
      <c r="BE16" s="403"/>
      <c r="BF16" s="403"/>
      <c r="BG16" s="403"/>
      <c r="BH16" s="403"/>
      <c r="BI16" s="403"/>
      <c r="BJ16" s="403"/>
      <c r="BK16" s="403"/>
      <c r="BL16" s="403"/>
      <c r="BM16" s="403"/>
      <c r="BN16" s="403"/>
      <c r="BO16" s="403"/>
      <c r="BP16" s="403"/>
      <c r="BQ16" s="403"/>
      <c r="BR16" s="403"/>
      <c r="BS16" s="403"/>
      <c r="BT16" s="403"/>
      <c r="BU16" s="403"/>
      <c r="BV16" s="403"/>
      <c r="BW16" s="403"/>
      <c r="BX16" s="403"/>
      <c r="BY16" s="403"/>
      <c r="BZ16" s="403"/>
      <c r="CA16" s="403"/>
    </row>
    <row r="17" spans="1:79" ht="13.5" customHeight="1">
      <c r="A17" s="403"/>
      <c r="B17" s="1247"/>
      <c r="C17" s="1264" t="s">
        <v>193</v>
      </c>
      <c r="D17" s="1270">
        <f t="shared" si="4"/>
        <v>270</v>
      </c>
      <c r="E17" s="1611">
        <f t="shared" si="3"/>
        <v>344.17777777777775</v>
      </c>
      <c r="F17" s="1756"/>
      <c r="G17" s="1756"/>
      <c r="H17" s="1757" t="e">
        <f t="shared" ca="1" si="5"/>
        <v>#DIV/0!</v>
      </c>
      <c r="I17" s="715"/>
      <c r="J17" s="1718"/>
      <c r="K17" s="1273"/>
      <c r="L17" s="1274" t="s">
        <v>303</v>
      </c>
      <c r="M17" s="1537">
        <v>2</v>
      </c>
      <c r="N17" s="1265">
        <v>2</v>
      </c>
      <c r="O17" s="1302">
        <v>14</v>
      </c>
      <c r="P17" s="1265">
        <v>21</v>
      </c>
      <c r="Q17" s="1265">
        <v>55</v>
      </c>
      <c r="R17" s="1265">
        <v>16</v>
      </c>
      <c r="S17" s="1265">
        <v>167</v>
      </c>
      <c r="T17" s="1265">
        <v>10</v>
      </c>
      <c r="U17" s="1265">
        <v>84</v>
      </c>
      <c r="V17" s="1265">
        <v>7</v>
      </c>
      <c r="W17" s="1265">
        <v>8</v>
      </c>
      <c r="X17" s="1265">
        <v>0</v>
      </c>
      <c r="Y17" s="1265">
        <v>93</v>
      </c>
      <c r="Z17" s="1265">
        <v>131</v>
      </c>
      <c r="AA17" s="1265">
        <v>12</v>
      </c>
      <c r="AB17" s="1265">
        <v>1</v>
      </c>
      <c r="AC17" s="1275">
        <v>69</v>
      </c>
      <c r="AD17" s="1275">
        <v>53</v>
      </c>
      <c r="AE17" s="1275">
        <v>0</v>
      </c>
      <c r="AF17" s="1278">
        <v>103</v>
      </c>
      <c r="AG17" s="1278">
        <v>50</v>
      </c>
      <c r="AH17" s="1278">
        <v>2</v>
      </c>
      <c r="AI17" s="1539">
        <v>33</v>
      </c>
      <c r="AJ17" s="501">
        <v>58</v>
      </c>
      <c r="AK17" s="493">
        <v>396.8</v>
      </c>
      <c r="AL17" s="1322"/>
      <c r="AM17" s="1339">
        <v>241.3</v>
      </c>
      <c r="AN17" s="1355">
        <v>172.5</v>
      </c>
      <c r="AO17" s="1389">
        <v>82</v>
      </c>
      <c r="AP17" s="1389">
        <v>622</v>
      </c>
      <c r="AQ17" s="1389">
        <v>575</v>
      </c>
      <c r="AR17" s="1389">
        <v>236</v>
      </c>
      <c r="AS17" s="1389">
        <v>552</v>
      </c>
      <c r="AT17" s="1389">
        <v>220</v>
      </c>
      <c r="AU17" s="1345">
        <f>フェロモントラップ野帳!$G$65</f>
        <v>270</v>
      </c>
      <c r="AV17" s="1273"/>
      <c r="AW17" s="1274" t="s">
        <v>303</v>
      </c>
      <c r="AX17" s="403"/>
      <c r="AY17" s="1248"/>
      <c r="AZ17" s="403"/>
      <c r="BA17" s="403"/>
      <c r="BB17" s="403"/>
      <c r="BC17" s="403"/>
      <c r="BD17" s="403"/>
      <c r="BE17" s="403"/>
      <c r="BF17" s="403"/>
      <c r="BG17" s="403"/>
      <c r="BH17" s="403"/>
      <c r="BI17" s="403"/>
      <c r="BJ17" s="403"/>
      <c r="BK17" s="403"/>
      <c r="BL17" s="403"/>
      <c r="BM17" s="403"/>
      <c r="BN17" s="403"/>
      <c r="BO17" s="403"/>
      <c r="BP17" s="403"/>
      <c r="BQ17" s="403"/>
      <c r="BR17" s="403"/>
      <c r="BS17" s="403"/>
      <c r="BT17" s="403"/>
      <c r="BU17" s="403"/>
      <c r="BV17" s="403"/>
      <c r="BW17" s="403"/>
      <c r="BX17" s="403"/>
      <c r="BY17" s="403"/>
      <c r="BZ17" s="403"/>
      <c r="CA17" s="403"/>
    </row>
    <row r="18" spans="1:79" ht="13.5" customHeight="1">
      <c r="A18" s="403"/>
      <c r="B18" s="1247"/>
      <c r="C18" s="1264" t="s">
        <v>194</v>
      </c>
      <c r="D18" s="1270">
        <f t="shared" si="4"/>
        <v>200</v>
      </c>
      <c r="E18" s="1611">
        <f t="shared" si="3"/>
        <v>462.83984126984132</v>
      </c>
      <c r="F18" s="1756"/>
      <c r="G18" s="1756"/>
      <c r="H18" s="1757" t="e">
        <f t="shared" ca="1" si="5"/>
        <v>#DIV/0!</v>
      </c>
      <c r="I18" s="715"/>
      <c r="J18" s="1718"/>
      <c r="K18" s="1273"/>
      <c r="L18" s="1274" t="s">
        <v>304</v>
      </c>
      <c r="M18" s="1537">
        <v>32</v>
      </c>
      <c r="N18" s="1265">
        <v>13</v>
      </c>
      <c r="O18" s="1302">
        <v>34</v>
      </c>
      <c r="P18" s="1265">
        <v>16</v>
      </c>
      <c r="Q18" s="1265">
        <v>163</v>
      </c>
      <c r="R18" s="1265">
        <v>27</v>
      </c>
      <c r="S18" s="1265">
        <v>383</v>
      </c>
      <c r="T18" s="1265">
        <v>49</v>
      </c>
      <c r="U18" s="1265">
        <v>446</v>
      </c>
      <c r="V18" s="1265">
        <v>8</v>
      </c>
      <c r="W18" s="1265">
        <v>17</v>
      </c>
      <c r="X18" s="1265">
        <v>2</v>
      </c>
      <c r="Y18" s="1265">
        <v>101</v>
      </c>
      <c r="Z18" s="1265">
        <v>414</v>
      </c>
      <c r="AA18" s="1265">
        <v>43</v>
      </c>
      <c r="AB18" s="1265">
        <v>2</v>
      </c>
      <c r="AC18" s="1275">
        <v>52</v>
      </c>
      <c r="AD18" s="1275">
        <v>62</v>
      </c>
      <c r="AE18" s="1275">
        <v>0</v>
      </c>
      <c r="AF18" s="1275">
        <v>188</v>
      </c>
      <c r="AG18" s="1275">
        <v>88</v>
      </c>
      <c r="AH18" s="1275">
        <v>2</v>
      </c>
      <c r="AI18" s="1538">
        <v>87</v>
      </c>
      <c r="AJ18" s="493">
        <v>385.714</v>
      </c>
      <c r="AK18" s="493">
        <v>410.5</v>
      </c>
      <c r="AL18" s="1322"/>
      <c r="AM18" s="1339">
        <v>400.3</v>
      </c>
      <c r="AN18" s="1355">
        <v>349.5</v>
      </c>
      <c r="AO18" s="1389">
        <v>165.83</v>
      </c>
      <c r="AP18" s="1389">
        <v>710</v>
      </c>
      <c r="AQ18" s="1389">
        <v>1328</v>
      </c>
      <c r="AR18" s="1389">
        <v>115</v>
      </c>
      <c r="AS18" s="1389">
        <v>410</v>
      </c>
      <c r="AT18" s="1389">
        <v>276.42857142857144</v>
      </c>
      <c r="AU18" s="1345">
        <f>フェロモントラップ野帳!$G$70</f>
        <v>200</v>
      </c>
      <c r="AV18" s="1273"/>
      <c r="AW18" s="1274" t="s">
        <v>304</v>
      </c>
      <c r="AX18" s="403"/>
      <c r="AY18" s="1248"/>
      <c r="AZ18" s="403"/>
      <c r="BA18" s="403"/>
      <c r="BB18" s="403"/>
      <c r="BC18" s="403"/>
      <c r="BD18" s="403"/>
      <c r="BE18" s="741"/>
      <c r="BF18" s="403"/>
      <c r="BG18" s="403"/>
      <c r="BH18" s="403"/>
      <c r="BI18" s="741"/>
      <c r="BJ18" s="403"/>
      <c r="BK18" s="403"/>
      <c r="BL18" s="403"/>
      <c r="BM18" s="403"/>
      <c r="BN18" s="403"/>
      <c r="BO18" s="403"/>
      <c r="BP18" s="403"/>
      <c r="BQ18" s="403"/>
      <c r="BR18" s="403"/>
      <c r="BS18" s="403"/>
      <c r="BT18" s="403"/>
      <c r="BU18" s="403"/>
      <c r="BV18" s="403"/>
      <c r="BW18" s="403"/>
      <c r="BX18" s="403"/>
      <c r="BY18" s="403"/>
      <c r="BZ18" s="403"/>
      <c r="CA18" s="403"/>
    </row>
    <row r="19" spans="1:79" ht="13.5" customHeight="1" thickBot="1">
      <c r="A19" s="403"/>
      <c r="B19" s="1247"/>
      <c r="C19" s="1364" t="s">
        <v>195</v>
      </c>
      <c r="D19" s="1522">
        <f t="shared" si="4"/>
        <v>186.25</v>
      </c>
      <c r="E19" s="1612">
        <f t="shared" si="3"/>
        <v>317.05222222222227</v>
      </c>
      <c r="F19" s="1758"/>
      <c r="G19" s="1758"/>
      <c r="H19" s="1759" t="e">
        <f t="shared" ca="1" si="5"/>
        <v>#DIV/0!</v>
      </c>
      <c r="I19" s="717"/>
      <c r="J19" s="1718"/>
      <c r="K19" s="1279"/>
      <c r="L19" s="1280" t="s">
        <v>305</v>
      </c>
      <c r="M19" s="1540">
        <v>107</v>
      </c>
      <c r="N19" s="1268">
        <v>29</v>
      </c>
      <c r="O19" s="1303">
        <v>172</v>
      </c>
      <c r="P19" s="1268">
        <v>74</v>
      </c>
      <c r="Q19" s="1268">
        <v>60</v>
      </c>
      <c r="R19" s="1268">
        <v>455</v>
      </c>
      <c r="S19" s="1268">
        <v>566</v>
      </c>
      <c r="T19" s="1268">
        <v>41</v>
      </c>
      <c r="U19" s="1268">
        <v>365</v>
      </c>
      <c r="V19" s="1268">
        <v>43</v>
      </c>
      <c r="W19" s="1268">
        <v>32</v>
      </c>
      <c r="X19" s="1268">
        <v>20</v>
      </c>
      <c r="Y19" s="1268">
        <v>140</v>
      </c>
      <c r="Z19" s="1268">
        <v>218</v>
      </c>
      <c r="AA19" s="1268">
        <v>38</v>
      </c>
      <c r="AB19" s="1268">
        <v>4</v>
      </c>
      <c r="AC19" s="1281">
        <v>146</v>
      </c>
      <c r="AD19" s="1281">
        <v>41</v>
      </c>
      <c r="AE19" s="1281">
        <v>1</v>
      </c>
      <c r="AF19" s="1281">
        <v>160</v>
      </c>
      <c r="AG19" s="1281">
        <v>103</v>
      </c>
      <c r="AH19" s="1281">
        <v>14</v>
      </c>
      <c r="AI19" s="1541">
        <v>164</v>
      </c>
      <c r="AJ19" s="511">
        <v>745.29</v>
      </c>
      <c r="AK19" s="511">
        <v>100</v>
      </c>
      <c r="AL19" s="1329"/>
      <c r="AM19" s="1340">
        <v>230.3</v>
      </c>
      <c r="AN19" s="1356">
        <v>135</v>
      </c>
      <c r="AO19" s="1390">
        <v>110.17</v>
      </c>
      <c r="AP19" s="1390">
        <v>568</v>
      </c>
      <c r="AQ19" s="1390">
        <v>840</v>
      </c>
      <c r="AR19" s="1390">
        <v>236</v>
      </c>
      <c r="AS19" s="1390">
        <v>224</v>
      </c>
      <c r="AT19" s="1390">
        <v>410</v>
      </c>
      <c r="AU19" s="1346">
        <f>フェロモントラップ野帳!$G$76</f>
        <v>186.25</v>
      </c>
      <c r="AV19" s="1279"/>
      <c r="AW19" s="1280" t="s">
        <v>305</v>
      </c>
      <c r="AX19" s="403"/>
      <c r="AY19" s="1248"/>
      <c r="AZ19" s="403"/>
      <c r="BA19" s="403"/>
      <c r="BB19" s="403"/>
      <c r="BC19" s="403"/>
      <c r="BD19" s="403"/>
      <c r="BE19" s="403"/>
      <c r="BF19" s="403"/>
      <c r="BG19" s="741"/>
      <c r="BH19" s="741"/>
      <c r="BI19" s="403"/>
      <c r="BJ19" s="741"/>
      <c r="BK19" s="741"/>
      <c r="BL19" s="403"/>
      <c r="BM19" s="403"/>
      <c r="BN19" s="403"/>
      <c r="BO19" s="403"/>
      <c r="BP19" s="403"/>
      <c r="BQ19" s="403"/>
      <c r="BR19" s="403"/>
      <c r="BS19" s="403"/>
      <c r="BT19" s="403"/>
      <c r="BU19" s="403"/>
      <c r="BV19" s="403"/>
      <c r="BW19" s="403"/>
      <c r="BX19" s="403"/>
      <c r="BY19" s="403"/>
      <c r="BZ19" s="403"/>
      <c r="CA19" s="403"/>
    </row>
    <row r="20" spans="1:79" ht="13.5" customHeight="1">
      <c r="A20" s="403"/>
      <c r="B20" s="1246"/>
      <c r="C20" s="1286" t="s">
        <v>189</v>
      </c>
      <c r="D20" s="1323">
        <f t="shared" si="4"/>
        <v>95</v>
      </c>
      <c r="E20" s="1606">
        <f t="shared" si="3"/>
        <v>419.61904761904759</v>
      </c>
      <c r="F20" s="1760"/>
      <c r="G20" s="1760"/>
      <c r="H20" s="1761" t="e">
        <f ca="1">IF(OR(ISBLANK($F$6),ISBLANK($H$6)),-20,AVERAGE(OFFSET($M20,0,$F$6-1985,1,$H$6-$F$6+1)))</f>
        <v>#DIV/0!</v>
      </c>
      <c r="I20" s="715"/>
      <c r="J20" s="1718"/>
      <c r="K20" s="1253"/>
      <c r="L20" s="1271" t="s">
        <v>300</v>
      </c>
      <c r="M20" s="1542">
        <v>524</v>
      </c>
      <c r="N20" s="1282">
        <v>21</v>
      </c>
      <c r="O20" s="1305">
        <v>270</v>
      </c>
      <c r="P20" s="1282">
        <v>439</v>
      </c>
      <c r="Q20" s="1282">
        <v>437</v>
      </c>
      <c r="R20" s="1282">
        <v>140</v>
      </c>
      <c r="S20" s="1282">
        <v>176</v>
      </c>
      <c r="T20" s="1282">
        <v>34</v>
      </c>
      <c r="U20" s="1282">
        <v>261</v>
      </c>
      <c r="V20" s="1282">
        <v>59</v>
      </c>
      <c r="W20" s="1282">
        <v>118</v>
      </c>
      <c r="X20" s="1282">
        <v>109</v>
      </c>
      <c r="Y20" s="1282">
        <v>307</v>
      </c>
      <c r="Z20" s="1282">
        <v>20</v>
      </c>
      <c r="AA20" s="1282">
        <v>102</v>
      </c>
      <c r="AB20" s="1282">
        <v>24</v>
      </c>
      <c r="AC20" s="1283">
        <v>213</v>
      </c>
      <c r="AD20" s="1283">
        <v>30</v>
      </c>
      <c r="AE20" s="1283">
        <v>0</v>
      </c>
      <c r="AF20" s="1283">
        <v>67</v>
      </c>
      <c r="AG20" s="1283">
        <v>63</v>
      </c>
      <c r="AH20" s="1283">
        <v>57</v>
      </c>
      <c r="AI20" s="1543">
        <v>145</v>
      </c>
      <c r="AJ20" s="519">
        <v>379</v>
      </c>
      <c r="AK20" s="519">
        <v>56</v>
      </c>
      <c r="AL20" s="1330"/>
      <c r="AM20" s="1338">
        <v>220</v>
      </c>
      <c r="AN20" s="1354">
        <v>120</v>
      </c>
      <c r="AO20" s="1388">
        <v>98</v>
      </c>
      <c r="AP20" s="1388">
        <v>484</v>
      </c>
      <c r="AQ20" s="1388">
        <v>1456</v>
      </c>
      <c r="AR20" s="1388">
        <v>521</v>
      </c>
      <c r="AS20" s="1388">
        <v>438</v>
      </c>
      <c r="AT20" s="1388">
        <v>383.57142857142856</v>
      </c>
      <c r="AU20" s="1344">
        <f>フェロモントラップ野帳!$G$90</f>
        <v>95</v>
      </c>
      <c r="AV20" s="1253"/>
      <c r="AW20" s="1271" t="s">
        <v>300</v>
      </c>
      <c r="AX20" s="403"/>
      <c r="AY20" s="1248"/>
      <c r="AZ20" s="1164"/>
      <c r="BA20" s="741"/>
      <c r="BB20" s="741"/>
      <c r="BC20" s="741"/>
      <c r="BD20" s="741"/>
      <c r="BE20" s="403"/>
      <c r="BF20" s="741"/>
      <c r="BG20" s="403"/>
      <c r="BH20" s="403"/>
      <c r="BI20" s="403"/>
      <c r="BJ20" s="403"/>
      <c r="BK20" s="403"/>
      <c r="BL20" s="741"/>
      <c r="BM20" s="741"/>
      <c r="BN20" s="741"/>
      <c r="BO20" s="741"/>
      <c r="BP20" s="403"/>
      <c r="BQ20" s="403"/>
      <c r="BR20" s="403"/>
      <c r="BS20" s="403"/>
      <c r="BT20" s="403"/>
      <c r="BU20" s="403"/>
      <c r="BV20" s="403"/>
      <c r="BW20" s="403"/>
      <c r="BX20" s="403"/>
      <c r="BY20" s="403"/>
      <c r="BZ20" s="403"/>
      <c r="CA20" s="403"/>
    </row>
    <row r="21" spans="1:79" ht="13.5" customHeight="1">
      <c r="A21" s="403"/>
      <c r="B21" s="1247"/>
      <c r="C21" s="1264" t="s">
        <v>190</v>
      </c>
      <c r="D21" s="1270">
        <f t="shared" si="4"/>
        <v>28</v>
      </c>
      <c r="E21" s="1611">
        <f t="shared" si="3"/>
        <v>211.25</v>
      </c>
      <c r="F21" s="1756"/>
      <c r="G21" s="1756"/>
      <c r="H21" s="1757" t="e">
        <f t="shared" ca="1" si="5"/>
        <v>#DIV/0!</v>
      </c>
      <c r="I21" s="715"/>
      <c r="J21" s="1718"/>
      <c r="K21" s="1273"/>
      <c r="L21" s="1274" t="s">
        <v>301</v>
      </c>
      <c r="M21" s="1537">
        <v>118</v>
      </c>
      <c r="N21" s="1265">
        <v>290</v>
      </c>
      <c r="O21" s="1302">
        <v>439</v>
      </c>
      <c r="P21" s="1265">
        <v>616</v>
      </c>
      <c r="Q21" s="1265">
        <v>153</v>
      </c>
      <c r="R21" s="1265">
        <v>228</v>
      </c>
      <c r="S21" s="1265">
        <v>447</v>
      </c>
      <c r="T21" s="1265">
        <v>31</v>
      </c>
      <c r="U21" s="1265">
        <v>1822</v>
      </c>
      <c r="V21" s="1265">
        <v>43</v>
      </c>
      <c r="W21" s="1265">
        <v>106</v>
      </c>
      <c r="X21" s="1265">
        <v>112</v>
      </c>
      <c r="Y21" s="1265">
        <v>85</v>
      </c>
      <c r="Z21" s="1265">
        <v>3</v>
      </c>
      <c r="AA21" s="1265">
        <v>89</v>
      </c>
      <c r="AB21" s="1265">
        <v>21</v>
      </c>
      <c r="AC21" s="1275">
        <v>147</v>
      </c>
      <c r="AD21" s="1275">
        <v>10</v>
      </c>
      <c r="AE21" s="1275">
        <v>2</v>
      </c>
      <c r="AF21" s="1275">
        <v>46</v>
      </c>
      <c r="AG21" s="1275">
        <v>160</v>
      </c>
      <c r="AH21" s="1275">
        <v>89</v>
      </c>
      <c r="AI21" s="1538">
        <v>110</v>
      </c>
      <c r="AJ21" s="493">
        <v>37</v>
      </c>
      <c r="AK21" s="493">
        <v>12</v>
      </c>
      <c r="AL21" s="1322"/>
      <c r="AM21" s="1339">
        <v>63</v>
      </c>
      <c r="AN21" s="1355">
        <v>157</v>
      </c>
      <c r="AO21" s="1389">
        <v>39</v>
      </c>
      <c r="AP21" s="1389">
        <v>366</v>
      </c>
      <c r="AQ21" s="1389">
        <v>555</v>
      </c>
      <c r="AR21" s="1389">
        <v>295</v>
      </c>
      <c r="AS21" s="1389">
        <v>82</v>
      </c>
      <c r="AT21" s="1389">
        <v>332.25</v>
      </c>
      <c r="AU21" s="1345">
        <f>フェロモントラップ野帳!$G$95</f>
        <v>28</v>
      </c>
      <c r="AV21" s="1273"/>
      <c r="AW21" s="1274" t="s">
        <v>301</v>
      </c>
      <c r="AX21" s="403"/>
      <c r="AY21" s="1248"/>
      <c r="AZ21" s="741"/>
      <c r="BA21" s="403"/>
      <c r="BB21" s="403"/>
      <c r="BC21" s="403"/>
      <c r="BD21" s="403"/>
      <c r="BE21" s="403"/>
      <c r="BF21" s="403"/>
      <c r="BG21" s="403"/>
      <c r="BH21" s="403"/>
      <c r="BI21" s="403"/>
      <c r="BJ21" s="403"/>
      <c r="BK21" s="403"/>
      <c r="BL21" s="403"/>
      <c r="BM21" s="403"/>
      <c r="BN21" s="403"/>
      <c r="BO21" s="403"/>
      <c r="BP21" s="741"/>
      <c r="BQ21" s="741"/>
      <c r="BR21" s="741"/>
      <c r="BS21" s="741"/>
      <c r="BT21" s="741"/>
      <c r="BU21" s="403"/>
      <c r="BV21" s="403"/>
      <c r="BW21" s="403"/>
      <c r="BX21" s="403"/>
      <c r="BY21" s="403"/>
      <c r="BZ21" s="403"/>
      <c r="CA21" s="403"/>
    </row>
    <row r="22" spans="1:79" ht="13.5" customHeight="1">
      <c r="A22" s="403"/>
      <c r="B22" s="1247" t="s">
        <v>197</v>
      </c>
      <c r="C22" s="1264" t="s">
        <v>192</v>
      </c>
      <c r="D22" s="1270">
        <f t="shared" si="4"/>
        <v>5.833333333333333</v>
      </c>
      <c r="E22" s="1611">
        <f t="shared" si="3"/>
        <v>90.611111111111114</v>
      </c>
      <c r="F22" s="1756"/>
      <c r="G22" s="1756"/>
      <c r="H22" s="1757" t="e">
        <f t="shared" ca="1" si="5"/>
        <v>#DIV/0!</v>
      </c>
      <c r="I22" s="715"/>
      <c r="J22" s="1718"/>
      <c r="K22" s="1273" t="s">
        <v>197</v>
      </c>
      <c r="L22" s="1274" t="s">
        <v>302</v>
      </c>
      <c r="M22" s="1537">
        <v>6</v>
      </c>
      <c r="N22" s="1265">
        <v>806</v>
      </c>
      <c r="O22" s="1302">
        <v>546</v>
      </c>
      <c r="P22" s="1265">
        <v>375</v>
      </c>
      <c r="Q22" s="1265">
        <v>117</v>
      </c>
      <c r="R22" s="1265">
        <v>112</v>
      </c>
      <c r="S22" s="1265">
        <v>282</v>
      </c>
      <c r="T22" s="1265">
        <v>34</v>
      </c>
      <c r="U22" s="1265">
        <v>693</v>
      </c>
      <c r="V22" s="1265">
        <v>14</v>
      </c>
      <c r="W22" s="1265">
        <v>33</v>
      </c>
      <c r="X22" s="1265">
        <v>430</v>
      </c>
      <c r="Y22" s="1265">
        <v>46</v>
      </c>
      <c r="Z22" s="1265">
        <v>0</v>
      </c>
      <c r="AA22" s="1265">
        <v>30</v>
      </c>
      <c r="AB22" s="1265">
        <v>25</v>
      </c>
      <c r="AC22" s="1275">
        <v>54</v>
      </c>
      <c r="AD22" s="1275">
        <v>1</v>
      </c>
      <c r="AE22" s="1275">
        <v>5</v>
      </c>
      <c r="AF22" s="1275">
        <v>10</v>
      </c>
      <c r="AG22" s="1275">
        <v>55</v>
      </c>
      <c r="AH22" s="1275">
        <v>134</v>
      </c>
      <c r="AI22" s="1538">
        <v>21</v>
      </c>
      <c r="AJ22" s="493">
        <v>63</v>
      </c>
      <c r="AK22" s="493">
        <v>1</v>
      </c>
      <c r="AL22" s="1322"/>
      <c r="AM22" s="1339">
        <v>132</v>
      </c>
      <c r="AN22" s="1355">
        <v>131</v>
      </c>
      <c r="AO22" s="1389">
        <v>15</v>
      </c>
      <c r="AP22" s="1389">
        <v>132.5</v>
      </c>
      <c r="AQ22" s="1389">
        <v>128</v>
      </c>
      <c r="AR22" s="1389">
        <v>149</v>
      </c>
      <c r="AS22" s="1389">
        <v>9</v>
      </c>
      <c r="AT22" s="1389">
        <v>118</v>
      </c>
      <c r="AU22" s="1345">
        <f>フェロモントラップ野帳!$G$100</f>
        <v>5.833333333333333</v>
      </c>
      <c r="AV22" s="1273" t="s">
        <v>197</v>
      </c>
      <c r="AW22" s="1274" t="s">
        <v>302</v>
      </c>
      <c r="AX22" s="1243"/>
      <c r="AY22" s="1248"/>
      <c r="AZ22" s="1243"/>
      <c r="BA22" s="403"/>
      <c r="BB22" s="403"/>
      <c r="BC22" s="403"/>
      <c r="BD22" s="403"/>
      <c r="BE22" s="403"/>
      <c r="BF22" s="403"/>
      <c r="BG22" s="403"/>
      <c r="BH22" s="403"/>
      <c r="BI22" s="403"/>
      <c r="BJ22" s="403"/>
      <c r="BK22" s="403"/>
      <c r="BL22" s="403"/>
      <c r="BM22" s="403"/>
      <c r="BN22" s="403"/>
      <c r="BO22" s="403"/>
      <c r="BP22" s="403"/>
      <c r="BQ22" s="403"/>
      <c r="BR22" s="403"/>
      <c r="BS22" s="403"/>
      <c r="BT22" s="403"/>
      <c r="BU22" s="403"/>
      <c r="BV22" s="403"/>
      <c r="BW22" s="403"/>
      <c r="BX22" s="403"/>
      <c r="BY22" s="403"/>
      <c r="BZ22" s="403"/>
      <c r="CA22" s="403"/>
    </row>
    <row r="23" spans="1:79" ht="13.5" customHeight="1">
      <c r="A23" s="403"/>
      <c r="B23" s="1247"/>
      <c r="C23" s="1264" t="s">
        <v>193</v>
      </c>
      <c r="D23" s="1270">
        <f t="shared" si="4"/>
        <v>0</v>
      </c>
      <c r="E23" s="1611">
        <f t="shared" si="3"/>
        <v>22.444444444444443</v>
      </c>
      <c r="F23" s="1756"/>
      <c r="G23" s="1756"/>
      <c r="H23" s="1757" t="e">
        <f t="shared" ca="1" si="5"/>
        <v>#DIV/0!</v>
      </c>
      <c r="I23" s="715"/>
      <c r="J23" s="1718"/>
      <c r="K23" s="1273"/>
      <c r="L23" s="1274" t="s">
        <v>303</v>
      </c>
      <c r="M23" s="1537">
        <v>0</v>
      </c>
      <c r="N23" s="1265">
        <v>424</v>
      </c>
      <c r="O23" s="1302">
        <v>426</v>
      </c>
      <c r="P23" s="1265">
        <v>353</v>
      </c>
      <c r="Q23" s="1265">
        <v>7</v>
      </c>
      <c r="R23" s="1265">
        <v>22</v>
      </c>
      <c r="S23" s="1265">
        <v>143</v>
      </c>
      <c r="T23" s="1265">
        <v>4</v>
      </c>
      <c r="U23" s="1265">
        <v>119</v>
      </c>
      <c r="V23" s="1265">
        <v>18</v>
      </c>
      <c r="W23" s="1265">
        <v>29</v>
      </c>
      <c r="X23" s="1265">
        <v>246</v>
      </c>
      <c r="Y23" s="1265">
        <v>2</v>
      </c>
      <c r="Z23" s="1265">
        <v>0</v>
      </c>
      <c r="AA23" s="1265">
        <v>5</v>
      </c>
      <c r="AB23" s="1265">
        <v>13</v>
      </c>
      <c r="AC23" s="1275">
        <v>7</v>
      </c>
      <c r="AD23" s="1275">
        <v>1</v>
      </c>
      <c r="AE23" s="1275">
        <v>9</v>
      </c>
      <c r="AF23" s="1275">
        <v>2</v>
      </c>
      <c r="AG23" s="1275">
        <v>15</v>
      </c>
      <c r="AH23" s="1275">
        <v>135</v>
      </c>
      <c r="AI23" s="1538">
        <v>3</v>
      </c>
      <c r="AJ23" s="493">
        <v>19</v>
      </c>
      <c r="AK23" s="493">
        <v>0</v>
      </c>
      <c r="AL23" s="1322"/>
      <c r="AM23" s="1339">
        <v>6</v>
      </c>
      <c r="AN23" s="1355">
        <v>15</v>
      </c>
      <c r="AO23" s="1389">
        <v>10</v>
      </c>
      <c r="AP23" s="1389">
        <v>53.5</v>
      </c>
      <c r="AQ23" s="1389">
        <v>12</v>
      </c>
      <c r="AR23" s="1389">
        <v>22.5</v>
      </c>
      <c r="AS23" s="1389">
        <v>14</v>
      </c>
      <c r="AT23" s="1389">
        <v>69</v>
      </c>
      <c r="AU23" s="1345">
        <f>フェロモントラップ野帳!$G$105</f>
        <v>0</v>
      </c>
      <c r="AV23" s="1273"/>
      <c r="AW23" s="1274" t="s">
        <v>303</v>
      </c>
      <c r="AX23" s="403"/>
      <c r="AY23" s="1248"/>
      <c r="AZ23" s="403"/>
      <c r="BA23" s="403"/>
      <c r="BB23" s="403"/>
      <c r="BC23" s="403"/>
      <c r="BD23" s="403"/>
      <c r="BE23" s="403"/>
      <c r="BF23" s="403"/>
      <c r="BG23" s="403"/>
      <c r="BH23" s="403"/>
      <c r="BI23" s="403"/>
      <c r="BJ23" s="403"/>
      <c r="BK23" s="403"/>
      <c r="BL23" s="403"/>
      <c r="BM23" s="403"/>
      <c r="BN23" s="403"/>
      <c r="BO23" s="403"/>
      <c r="BP23" s="403"/>
      <c r="BQ23" s="403"/>
      <c r="BR23" s="403"/>
      <c r="BS23" s="403"/>
      <c r="BT23" s="403"/>
      <c r="BU23" s="403"/>
      <c r="BV23" s="403"/>
      <c r="BW23" s="403"/>
      <c r="BX23" s="403"/>
      <c r="BY23" s="403"/>
      <c r="BZ23" s="403"/>
      <c r="CA23" s="403"/>
    </row>
    <row r="24" spans="1:79" ht="13.5" customHeight="1">
      <c r="A24" s="403"/>
      <c r="B24" s="1247"/>
      <c r="C24" s="1264" t="s">
        <v>194</v>
      </c>
      <c r="D24" s="1270">
        <f t="shared" si="4"/>
        <v>0</v>
      </c>
      <c r="E24" s="1611">
        <f t="shared" si="3"/>
        <v>3.1740740740740745</v>
      </c>
      <c r="F24" s="1756"/>
      <c r="G24" s="1756"/>
      <c r="H24" s="1757" t="e">
        <f t="shared" ca="1" si="5"/>
        <v>#DIV/0!</v>
      </c>
      <c r="I24" s="715"/>
      <c r="J24" s="1718"/>
      <c r="K24" s="1273"/>
      <c r="L24" s="1274" t="s">
        <v>304</v>
      </c>
      <c r="M24" s="1537">
        <v>14</v>
      </c>
      <c r="N24" s="1265">
        <v>77</v>
      </c>
      <c r="O24" s="1302">
        <v>222</v>
      </c>
      <c r="P24" s="1265">
        <v>56</v>
      </c>
      <c r="Q24" s="1265">
        <v>4</v>
      </c>
      <c r="R24" s="1265">
        <v>3</v>
      </c>
      <c r="S24" s="1265">
        <v>11</v>
      </c>
      <c r="T24" s="1265">
        <v>6</v>
      </c>
      <c r="U24" s="1265">
        <v>9</v>
      </c>
      <c r="V24" s="1265">
        <v>10</v>
      </c>
      <c r="W24" s="1265">
        <v>5</v>
      </c>
      <c r="X24" s="1265">
        <v>73</v>
      </c>
      <c r="Y24" s="1265">
        <v>3</v>
      </c>
      <c r="Z24" s="1265">
        <v>1</v>
      </c>
      <c r="AA24" s="1265">
        <v>2</v>
      </c>
      <c r="AB24" s="1265">
        <v>7</v>
      </c>
      <c r="AC24" s="1275">
        <v>2</v>
      </c>
      <c r="AD24" s="1275">
        <v>2</v>
      </c>
      <c r="AE24" s="1275">
        <v>0</v>
      </c>
      <c r="AF24" s="1275">
        <v>0</v>
      </c>
      <c r="AG24" s="1275">
        <v>15</v>
      </c>
      <c r="AH24" s="1275">
        <v>44</v>
      </c>
      <c r="AI24" s="1538">
        <v>2</v>
      </c>
      <c r="AJ24" s="493">
        <v>1.67</v>
      </c>
      <c r="AK24" s="493">
        <v>0</v>
      </c>
      <c r="AL24" s="1322"/>
      <c r="AM24" s="1339">
        <v>3.1</v>
      </c>
      <c r="AN24" s="1355">
        <v>3.3</v>
      </c>
      <c r="AO24" s="1389">
        <v>0</v>
      </c>
      <c r="AP24" s="1389">
        <v>4</v>
      </c>
      <c r="AQ24" s="1389">
        <v>2</v>
      </c>
      <c r="AR24" s="1389">
        <v>0</v>
      </c>
      <c r="AS24" s="1389">
        <v>2</v>
      </c>
      <c r="AT24" s="1389">
        <v>14.166666666666668</v>
      </c>
      <c r="AU24" s="1345">
        <f>フェロモントラップ野帳!$G$110</f>
        <v>0</v>
      </c>
      <c r="AV24" s="1273"/>
      <c r="AW24" s="1274" t="s">
        <v>304</v>
      </c>
      <c r="AX24" s="403"/>
      <c r="AY24" s="1248"/>
      <c r="AZ24" s="403"/>
      <c r="BA24" s="403"/>
      <c r="BB24" s="403"/>
      <c r="BC24" s="403"/>
      <c r="BD24" s="403"/>
      <c r="BE24" s="403"/>
      <c r="BF24" s="403"/>
      <c r="BG24" s="403"/>
      <c r="BH24" s="403"/>
      <c r="BI24" s="403"/>
      <c r="BJ24" s="403"/>
      <c r="BK24" s="403"/>
      <c r="BL24" s="403"/>
      <c r="BM24" s="403"/>
      <c r="BN24" s="403"/>
      <c r="BO24" s="403"/>
      <c r="BP24" s="403"/>
      <c r="BQ24" s="403"/>
      <c r="BR24" s="403"/>
      <c r="BS24" s="403"/>
      <c r="BT24" s="403"/>
      <c r="BU24" s="403"/>
      <c r="BV24" s="403"/>
      <c r="BW24" s="403"/>
      <c r="BX24" s="403"/>
      <c r="BY24" s="403"/>
      <c r="BZ24" s="403"/>
      <c r="CA24" s="403"/>
    </row>
    <row r="25" spans="1:79" ht="13.5" customHeight="1" thickBot="1">
      <c r="A25" s="403"/>
      <c r="B25" s="1267"/>
      <c r="C25" s="1284" t="s">
        <v>195</v>
      </c>
      <c r="D25" s="1300">
        <f t="shared" si="4"/>
        <v>15</v>
      </c>
      <c r="E25" s="1608">
        <f t="shared" si="3"/>
        <v>1.4592592592592593</v>
      </c>
      <c r="F25" s="1762"/>
      <c r="G25" s="1762"/>
      <c r="H25" s="1763" t="e">
        <f t="shared" ca="1" si="5"/>
        <v>#DIV/0!</v>
      </c>
      <c r="I25" s="717"/>
      <c r="J25" s="1718"/>
      <c r="K25" s="1279"/>
      <c r="L25" s="1280" t="s">
        <v>305</v>
      </c>
      <c r="M25" s="1244">
        <v>0</v>
      </c>
      <c r="N25" s="1268">
        <v>21</v>
      </c>
      <c r="O25" s="1306">
        <v>116</v>
      </c>
      <c r="P25" s="1252">
        <v>31</v>
      </c>
      <c r="Q25" s="1252">
        <v>1</v>
      </c>
      <c r="R25" s="1252">
        <v>1</v>
      </c>
      <c r="S25" s="1252">
        <v>5</v>
      </c>
      <c r="T25" s="1252">
        <v>0</v>
      </c>
      <c r="U25" s="1252">
        <v>3</v>
      </c>
      <c r="V25" s="1252">
        <v>6</v>
      </c>
      <c r="W25" s="1252">
        <v>0</v>
      </c>
      <c r="X25" s="1252">
        <v>30</v>
      </c>
      <c r="Y25" s="1252">
        <v>0</v>
      </c>
      <c r="Z25" s="1252">
        <v>9</v>
      </c>
      <c r="AA25" s="1252">
        <v>0</v>
      </c>
      <c r="AB25" s="1252">
        <v>0</v>
      </c>
      <c r="AC25" s="1285">
        <v>0</v>
      </c>
      <c r="AD25" s="1285">
        <v>1</v>
      </c>
      <c r="AE25" s="1285">
        <v>0</v>
      </c>
      <c r="AF25" s="1285">
        <v>0</v>
      </c>
      <c r="AG25" s="1285">
        <v>3</v>
      </c>
      <c r="AH25" s="1285">
        <v>3</v>
      </c>
      <c r="AI25" s="1544">
        <v>1</v>
      </c>
      <c r="AJ25" s="725">
        <v>1.67</v>
      </c>
      <c r="AK25" s="788">
        <v>0</v>
      </c>
      <c r="AL25" s="1532"/>
      <c r="AM25" s="1341">
        <v>0.9</v>
      </c>
      <c r="AN25" s="1357">
        <v>1.4</v>
      </c>
      <c r="AO25" s="1391">
        <v>1</v>
      </c>
      <c r="AP25" s="1391">
        <v>1</v>
      </c>
      <c r="AQ25" s="1391">
        <v>0</v>
      </c>
      <c r="AR25" s="1391">
        <v>1</v>
      </c>
      <c r="AS25" s="1391">
        <v>1</v>
      </c>
      <c r="AT25" s="1391">
        <v>6.8333333333333339</v>
      </c>
      <c r="AU25" s="1347">
        <f>フェロモントラップ野帳!$G$116</f>
        <v>15</v>
      </c>
      <c r="AV25" s="1279"/>
      <c r="AW25" s="1280" t="s">
        <v>305</v>
      </c>
      <c r="AX25" s="403"/>
      <c r="AY25" s="1248"/>
      <c r="AZ25" s="403"/>
      <c r="BA25" s="403"/>
      <c r="BB25" s="403"/>
      <c r="BC25" s="403"/>
      <c r="BD25" s="403"/>
      <c r="BE25" s="403"/>
      <c r="BF25" s="403"/>
      <c r="BG25" s="403"/>
      <c r="BH25" s="403"/>
      <c r="BI25" s="403"/>
      <c r="BJ25" s="403"/>
      <c r="BK25" s="403"/>
      <c r="BL25" s="403"/>
      <c r="BM25" s="403"/>
      <c r="BN25" s="403"/>
      <c r="BO25" s="403"/>
      <c r="BP25" s="403"/>
      <c r="BQ25" s="403"/>
      <c r="BR25" s="403"/>
      <c r="BS25" s="403"/>
      <c r="BT25" s="403"/>
      <c r="BU25" s="403"/>
      <c r="BV25" s="403"/>
      <c r="BW25" s="403"/>
      <c r="BX25" s="403"/>
      <c r="BY25" s="403"/>
      <c r="BZ25" s="403"/>
      <c r="CA25" s="403"/>
    </row>
    <row r="26" spans="1:79" ht="13.5" customHeight="1">
      <c r="A26" s="403"/>
      <c r="B26" s="1247"/>
      <c r="C26" s="450" t="s">
        <v>189</v>
      </c>
      <c r="D26" s="1270">
        <f t="shared" si="4"/>
        <v>47.142857142857146</v>
      </c>
      <c r="E26" s="779">
        <f t="shared" si="3"/>
        <v>24.515999999999998</v>
      </c>
      <c r="F26" s="1754"/>
      <c r="G26" s="1754"/>
      <c r="H26" s="1755" t="e">
        <f t="shared" ca="1" si="5"/>
        <v>#DIV/0!</v>
      </c>
      <c r="I26" s="715"/>
      <c r="J26" s="1718"/>
      <c r="K26" s="1273"/>
      <c r="L26" s="1271" t="s">
        <v>300</v>
      </c>
      <c r="M26" s="1535">
        <v>1</v>
      </c>
      <c r="N26" s="1282">
        <v>3</v>
      </c>
      <c r="O26" s="1301">
        <v>9</v>
      </c>
      <c r="P26" s="1262">
        <v>5</v>
      </c>
      <c r="Q26" s="1262">
        <v>3</v>
      </c>
      <c r="R26" s="1262">
        <v>1</v>
      </c>
      <c r="S26" s="1262">
        <v>2</v>
      </c>
      <c r="T26" s="1262">
        <v>0</v>
      </c>
      <c r="U26" s="1262">
        <v>0</v>
      </c>
      <c r="V26" s="1262">
        <v>3</v>
      </c>
      <c r="W26" s="1262">
        <v>3</v>
      </c>
      <c r="X26" s="1262">
        <v>0</v>
      </c>
      <c r="Y26" s="1262">
        <v>0</v>
      </c>
      <c r="Z26" s="1262">
        <v>168</v>
      </c>
      <c r="AA26" s="1262">
        <v>1</v>
      </c>
      <c r="AB26" s="1262">
        <v>0</v>
      </c>
      <c r="AC26" s="1272">
        <v>1</v>
      </c>
      <c r="AD26" s="1272">
        <v>1</v>
      </c>
      <c r="AE26" s="1272">
        <v>2</v>
      </c>
      <c r="AF26" s="1272">
        <v>2</v>
      </c>
      <c r="AG26" s="1272">
        <v>0</v>
      </c>
      <c r="AH26" s="1272">
        <v>0</v>
      </c>
      <c r="AI26" s="1536">
        <v>0</v>
      </c>
      <c r="AJ26" s="486">
        <v>2.2999999999999998</v>
      </c>
      <c r="AK26" s="519">
        <v>4</v>
      </c>
      <c r="AL26" s="1330">
        <v>0</v>
      </c>
      <c r="AM26" s="1338">
        <v>4</v>
      </c>
      <c r="AN26" s="1354">
        <v>2.2999999999999998</v>
      </c>
      <c r="AO26" s="1388">
        <v>7.86</v>
      </c>
      <c r="AP26" s="1388">
        <v>120</v>
      </c>
      <c r="AQ26" s="1388">
        <v>20</v>
      </c>
      <c r="AR26" s="1388">
        <v>26</v>
      </c>
      <c r="AS26" s="1388">
        <v>57</v>
      </c>
      <c r="AT26" s="1388">
        <v>4</v>
      </c>
      <c r="AU26" s="1344">
        <f>フェロモントラップ野帳!$G$130</f>
        <v>47.142857142857146</v>
      </c>
      <c r="AV26" s="1273"/>
      <c r="AW26" s="1271" t="s">
        <v>300</v>
      </c>
      <c r="AX26" s="403"/>
      <c r="AY26" s="1248"/>
      <c r="AZ26" s="403"/>
      <c r="BA26" s="403"/>
      <c r="BB26" s="403"/>
      <c r="BC26" s="403"/>
      <c r="BD26" s="403"/>
      <c r="BE26" s="403"/>
      <c r="BF26" s="403"/>
      <c r="BG26" s="403"/>
      <c r="BH26" s="403"/>
      <c r="BI26" s="403"/>
      <c r="BJ26" s="403"/>
      <c r="BK26" s="403"/>
      <c r="BL26" s="403"/>
      <c r="BM26" s="403"/>
      <c r="BN26" s="403"/>
      <c r="BO26" s="403"/>
      <c r="BP26" s="403"/>
      <c r="BQ26" s="403"/>
      <c r="BR26" s="403"/>
      <c r="BS26" s="403"/>
      <c r="BT26" s="403"/>
      <c r="BU26" s="403"/>
      <c r="BV26" s="403"/>
      <c r="BW26" s="403"/>
      <c r="BX26" s="403"/>
      <c r="BY26" s="403"/>
      <c r="BZ26" s="403"/>
      <c r="CA26" s="403"/>
    </row>
    <row r="27" spans="1:79" ht="13.5" customHeight="1">
      <c r="A27" s="403"/>
      <c r="B27" s="1247"/>
      <c r="C27" s="1264" t="s">
        <v>190</v>
      </c>
      <c r="D27" s="1270">
        <f t="shared" si="4"/>
        <v>246.66666666666666</v>
      </c>
      <c r="E27" s="1611">
        <f t="shared" si="3"/>
        <v>102.76399999999998</v>
      </c>
      <c r="F27" s="1756"/>
      <c r="G27" s="1756"/>
      <c r="H27" s="1757" t="e">
        <f t="shared" ca="1" si="5"/>
        <v>#DIV/0!</v>
      </c>
      <c r="I27" s="715"/>
      <c r="J27" s="1718"/>
      <c r="K27" s="1273"/>
      <c r="L27" s="1274" t="s">
        <v>301</v>
      </c>
      <c r="M27" s="1537">
        <v>0</v>
      </c>
      <c r="N27" s="1265">
        <v>0</v>
      </c>
      <c r="O27" s="1302">
        <v>3</v>
      </c>
      <c r="P27" s="1265">
        <v>2</v>
      </c>
      <c r="Q27" s="1265">
        <v>0</v>
      </c>
      <c r="R27" s="1265">
        <v>4</v>
      </c>
      <c r="S27" s="1265">
        <v>2</v>
      </c>
      <c r="T27" s="1265">
        <v>0</v>
      </c>
      <c r="U27" s="1265">
        <v>0</v>
      </c>
      <c r="V27" s="1265">
        <v>1</v>
      </c>
      <c r="W27" s="1265">
        <v>0</v>
      </c>
      <c r="X27" s="1265">
        <v>3</v>
      </c>
      <c r="Y27" s="1265">
        <v>0</v>
      </c>
      <c r="Z27" s="1265">
        <v>196</v>
      </c>
      <c r="AA27" s="1265">
        <v>5</v>
      </c>
      <c r="AB27" s="1265">
        <v>2</v>
      </c>
      <c r="AC27" s="1275">
        <v>5</v>
      </c>
      <c r="AD27" s="1275">
        <v>3</v>
      </c>
      <c r="AE27" s="1275">
        <v>2</v>
      </c>
      <c r="AF27" s="1275">
        <v>11</v>
      </c>
      <c r="AG27" s="1275">
        <v>2</v>
      </c>
      <c r="AH27" s="1275">
        <v>0</v>
      </c>
      <c r="AI27" s="1538">
        <v>1</v>
      </c>
      <c r="AJ27" s="493">
        <v>1.7</v>
      </c>
      <c r="AK27" s="493">
        <v>70.7</v>
      </c>
      <c r="AL27" s="1322">
        <v>24.8</v>
      </c>
      <c r="AM27" s="1339">
        <v>19</v>
      </c>
      <c r="AN27" s="1355">
        <v>6</v>
      </c>
      <c r="AO27" s="1389">
        <v>55.14</v>
      </c>
      <c r="AP27" s="1389">
        <v>384</v>
      </c>
      <c r="AQ27" s="1389">
        <v>123</v>
      </c>
      <c r="AR27" s="1389">
        <v>159</v>
      </c>
      <c r="AS27" s="1389">
        <v>155</v>
      </c>
      <c r="AT27" s="1389">
        <v>31</v>
      </c>
      <c r="AU27" s="1345">
        <f>フェロモントラップ野帳!$G$135</f>
        <v>246.66666666666666</v>
      </c>
      <c r="AV27" s="1273"/>
      <c r="AW27" s="1274" t="s">
        <v>301</v>
      </c>
      <c r="AX27" s="1243"/>
      <c r="AY27" s="1248"/>
      <c r="AZ27" s="1243"/>
      <c r="BA27" s="403"/>
      <c r="BB27" s="403"/>
      <c r="BC27" s="403"/>
      <c r="BD27" s="403"/>
      <c r="BE27" s="403"/>
      <c r="BF27" s="403"/>
      <c r="BG27" s="403"/>
      <c r="BH27" s="403"/>
      <c r="BI27" s="403"/>
      <c r="BJ27" s="403"/>
      <c r="BK27" s="403"/>
      <c r="BL27" s="403"/>
      <c r="BM27" s="403"/>
      <c r="BN27" s="403"/>
      <c r="BO27" s="403"/>
      <c r="BP27" s="403"/>
      <c r="BQ27" s="403"/>
      <c r="BR27" s="403"/>
      <c r="BS27" s="403"/>
      <c r="BT27" s="403"/>
      <c r="BU27" s="403"/>
      <c r="BV27" s="403"/>
      <c r="BW27" s="403"/>
      <c r="BX27" s="403"/>
      <c r="BY27" s="403"/>
      <c r="BZ27" s="403"/>
      <c r="CA27" s="403"/>
    </row>
    <row r="28" spans="1:79" ht="13.5" customHeight="1">
      <c r="A28" s="403"/>
      <c r="B28" s="1247" t="s">
        <v>199</v>
      </c>
      <c r="C28" s="1264" t="s">
        <v>192</v>
      </c>
      <c r="D28" s="1270">
        <f t="shared" si="4"/>
        <v>261</v>
      </c>
      <c r="E28" s="1611">
        <f t="shared" si="3"/>
        <v>289.66999999999996</v>
      </c>
      <c r="F28" s="1756"/>
      <c r="G28" s="1756"/>
      <c r="H28" s="1757" t="e">
        <f t="shared" ca="1" si="5"/>
        <v>#DIV/0!</v>
      </c>
      <c r="I28" s="715"/>
      <c r="J28" s="1718"/>
      <c r="K28" s="1273" t="s">
        <v>288</v>
      </c>
      <c r="L28" s="1274" t="s">
        <v>302</v>
      </c>
      <c r="M28" s="1537">
        <v>27</v>
      </c>
      <c r="N28" s="1265">
        <v>9</v>
      </c>
      <c r="O28" s="1302">
        <v>3</v>
      </c>
      <c r="P28" s="1265">
        <v>5</v>
      </c>
      <c r="Q28" s="1265">
        <v>18</v>
      </c>
      <c r="R28" s="1265">
        <v>21</v>
      </c>
      <c r="S28" s="1265">
        <v>48</v>
      </c>
      <c r="T28" s="1265">
        <v>1</v>
      </c>
      <c r="U28" s="1265">
        <v>0</v>
      </c>
      <c r="V28" s="1265">
        <v>7</v>
      </c>
      <c r="W28" s="1265">
        <v>0</v>
      </c>
      <c r="X28" s="1265">
        <v>2</v>
      </c>
      <c r="Y28" s="1265">
        <v>39</v>
      </c>
      <c r="Z28" s="1265">
        <v>214</v>
      </c>
      <c r="AA28" s="1265">
        <v>80</v>
      </c>
      <c r="AB28" s="1265">
        <v>4</v>
      </c>
      <c r="AC28" s="1275">
        <v>32</v>
      </c>
      <c r="AD28" s="1275">
        <v>18</v>
      </c>
      <c r="AE28" s="1275">
        <v>4</v>
      </c>
      <c r="AF28" s="1275">
        <v>97</v>
      </c>
      <c r="AG28" s="1275">
        <v>50</v>
      </c>
      <c r="AH28" s="1275">
        <v>0</v>
      </c>
      <c r="AI28" s="1538">
        <v>6</v>
      </c>
      <c r="AJ28" s="493">
        <v>22.3</v>
      </c>
      <c r="AK28" s="493">
        <v>157.30000000000001</v>
      </c>
      <c r="AL28" s="1322">
        <v>179.8</v>
      </c>
      <c r="AM28" s="1339">
        <v>46.6</v>
      </c>
      <c r="AN28" s="1355">
        <v>190</v>
      </c>
      <c r="AO28" s="1389">
        <v>179</v>
      </c>
      <c r="AP28" s="1389">
        <v>91</v>
      </c>
      <c r="AQ28" s="1389">
        <v>1365</v>
      </c>
      <c r="AR28" s="1389">
        <v>230</v>
      </c>
      <c r="AS28" s="1389">
        <v>295</v>
      </c>
      <c r="AT28" s="1389">
        <v>163</v>
      </c>
      <c r="AU28" s="1345">
        <f>フェロモントラップ野帳!$G$140</f>
        <v>261</v>
      </c>
      <c r="AV28" s="1273" t="s">
        <v>199</v>
      </c>
      <c r="AW28" s="1274" t="s">
        <v>302</v>
      </c>
      <c r="AX28" s="1243"/>
      <c r="AY28" s="1248"/>
      <c r="AZ28" s="1243"/>
      <c r="BA28" s="403"/>
      <c r="BB28" s="403"/>
      <c r="BC28" s="403"/>
      <c r="BD28" s="403"/>
      <c r="BE28" s="403"/>
      <c r="BF28" s="403"/>
      <c r="BG28" s="403"/>
      <c r="BH28" s="403"/>
      <c r="BI28" s="403"/>
      <c r="BJ28" s="403"/>
      <c r="BK28" s="403"/>
      <c r="BL28" s="403"/>
      <c r="BM28" s="403"/>
      <c r="BN28" s="403"/>
      <c r="BO28" s="403"/>
      <c r="BP28" s="403"/>
      <c r="BQ28" s="403"/>
      <c r="BR28" s="403"/>
      <c r="BS28" s="403"/>
      <c r="BT28" s="403"/>
      <c r="BU28" s="403"/>
      <c r="BV28" s="403"/>
      <c r="BW28" s="403"/>
      <c r="BX28" s="403"/>
      <c r="BY28" s="403"/>
      <c r="BZ28" s="403"/>
      <c r="CA28" s="403"/>
    </row>
    <row r="29" spans="1:79" ht="13.5" customHeight="1">
      <c r="A29" s="403"/>
      <c r="B29" s="1247"/>
      <c r="C29" s="1264" t="s">
        <v>193</v>
      </c>
      <c r="D29" s="1270">
        <f t="shared" si="4"/>
        <v>228.33333333333334</v>
      </c>
      <c r="E29" s="1611">
        <f t="shared" si="3"/>
        <v>562.20299999999997</v>
      </c>
      <c r="F29" s="1756"/>
      <c r="G29" s="1756"/>
      <c r="H29" s="1757" t="e">
        <f t="shared" ca="1" si="5"/>
        <v>#DIV/0!</v>
      </c>
      <c r="I29" s="715"/>
      <c r="J29" s="1718"/>
      <c r="K29" s="1273"/>
      <c r="L29" s="1274" t="s">
        <v>303</v>
      </c>
      <c r="M29" s="1537">
        <v>29</v>
      </c>
      <c r="N29" s="1265">
        <v>113</v>
      </c>
      <c r="O29" s="1302">
        <v>34</v>
      </c>
      <c r="P29" s="1265">
        <v>69</v>
      </c>
      <c r="Q29" s="1265">
        <v>57</v>
      </c>
      <c r="R29" s="1265">
        <v>95</v>
      </c>
      <c r="S29" s="1265">
        <v>424</v>
      </c>
      <c r="T29" s="1265">
        <v>11</v>
      </c>
      <c r="U29" s="1265">
        <v>28</v>
      </c>
      <c r="V29" s="1265">
        <v>15</v>
      </c>
      <c r="W29" s="1265">
        <v>14</v>
      </c>
      <c r="X29" s="1265">
        <v>5</v>
      </c>
      <c r="Y29" s="1265">
        <v>55</v>
      </c>
      <c r="Z29" s="1265">
        <v>93</v>
      </c>
      <c r="AA29" s="1265">
        <v>270</v>
      </c>
      <c r="AB29" s="1265">
        <v>5</v>
      </c>
      <c r="AC29" s="1275">
        <v>150</v>
      </c>
      <c r="AD29" s="1275">
        <v>21</v>
      </c>
      <c r="AE29" s="1275">
        <v>19</v>
      </c>
      <c r="AF29" s="1275">
        <v>82</v>
      </c>
      <c r="AG29" s="1275">
        <v>178</v>
      </c>
      <c r="AH29" s="1275">
        <v>4</v>
      </c>
      <c r="AI29" s="1538">
        <v>120</v>
      </c>
      <c r="AJ29" s="493">
        <v>37</v>
      </c>
      <c r="AK29" s="493">
        <v>202.8</v>
      </c>
      <c r="AL29" s="1322">
        <v>650</v>
      </c>
      <c r="AM29" s="1339">
        <v>92.9</v>
      </c>
      <c r="AN29" s="1355">
        <v>466</v>
      </c>
      <c r="AO29" s="1389">
        <v>223.33</v>
      </c>
      <c r="AP29" s="1389">
        <v>374</v>
      </c>
      <c r="AQ29" s="1389">
        <v>2375</v>
      </c>
      <c r="AR29" s="1389">
        <v>495</v>
      </c>
      <c r="AS29" s="1389">
        <v>317</v>
      </c>
      <c r="AT29" s="1389">
        <v>426</v>
      </c>
      <c r="AU29" s="1345">
        <f>フェロモントラップ野帳!$G$145</f>
        <v>228.33333333333334</v>
      </c>
      <c r="AV29" s="1273"/>
      <c r="AW29" s="1274" t="s">
        <v>303</v>
      </c>
      <c r="AX29" s="403"/>
      <c r="AY29" s="1248"/>
      <c r="AZ29" s="403"/>
      <c r="BA29" s="403"/>
      <c r="BB29" s="741"/>
      <c r="BC29" s="741"/>
      <c r="BD29" s="741"/>
      <c r="BE29" s="741"/>
      <c r="BF29" s="741"/>
      <c r="BG29" s="403"/>
      <c r="BH29" s="741"/>
      <c r="BI29" s="741"/>
      <c r="BJ29" s="741"/>
      <c r="BK29" s="741"/>
      <c r="BL29" s="403"/>
      <c r="BM29" s="403"/>
      <c r="BN29" s="403"/>
      <c r="BO29" s="403"/>
      <c r="BP29" s="403"/>
      <c r="BQ29" s="403"/>
      <c r="BR29" s="403"/>
      <c r="BS29" s="403"/>
      <c r="BT29" s="403"/>
      <c r="BU29" s="403"/>
      <c r="BV29" s="403"/>
      <c r="BW29" s="403"/>
      <c r="BX29" s="403"/>
      <c r="BY29" s="403"/>
      <c r="BZ29" s="403"/>
      <c r="CA29" s="403"/>
    </row>
    <row r="30" spans="1:79" ht="13.5" customHeight="1">
      <c r="A30" s="403"/>
      <c r="B30" s="1247"/>
      <c r="C30" s="1264" t="s">
        <v>194</v>
      </c>
      <c r="D30" s="1270" t="e">
        <f t="shared" si="4"/>
        <v>#N/A</v>
      </c>
      <c r="E30" s="1611">
        <f t="shared" si="3"/>
        <v>376.45699999999999</v>
      </c>
      <c r="F30" s="1756"/>
      <c r="G30" s="1756"/>
      <c r="H30" s="1757" t="e">
        <f t="shared" ca="1" si="5"/>
        <v>#DIV/0!</v>
      </c>
      <c r="I30" s="715"/>
      <c r="J30" s="1718"/>
      <c r="K30" s="1273"/>
      <c r="L30" s="1274" t="s">
        <v>304</v>
      </c>
      <c r="M30" s="1537">
        <v>27</v>
      </c>
      <c r="N30" s="1265">
        <v>445</v>
      </c>
      <c r="O30" s="1302">
        <v>70</v>
      </c>
      <c r="P30" s="1265">
        <v>80</v>
      </c>
      <c r="Q30" s="1265">
        <v>84</v>
      </c>
      <c r="R30" s="1265">
        <v>23</v>
      </c>
      <c r="S30" s="1265">
        <v>396</v>
      </c>
      <c r="T30" s="1265">
        <v>15</v>
      </c>
      <c r="U30" s="1265">
        <v>70</v>
      </c>
      <c r="V30" s="1265">
        <v>37</v>
      </c>
      <c r="W30" s="1265">
        <v>91</v>
      </c>
      <c r="X30" s="1265">
        <v>42</v>
      </c>
      <c r="Y30" s="1265">
        <v>56</v>
      </c>
      <c r="Z30" s="1265">
        <v>6</v>
      </c>
      <c r="AA30" s="1265">
        <v>140</v>
      </c>
      <c r="AB30" s="1265">
        <v>43</v>
      </c>
      <c r="AC30" s="1275">
        <v>224</v>
      </c>
      <c r="AD30" s="1275">
        <v>13</v>
      </c>
      <c r="AE30" s="1275">
        <v>25</v>
      </c>
      <c r="AF30" s="1275">
        <v>35</v>
      </c>
      <c r="AG30" s="1275">
        <v>127</v>
      </c>
      <c r="AH30" s="1275">
        <v>50</v>
      </c>
      <c r="AI30" s="1538">
        <v>56</v>
      </c>
      <c r="AJ30" s="493">
        <v>67</v>
      </c>
      <c r="AK30" s="493">
        <v>163.30000000000001</v>
      </c>
      <c r="AL30" s="1322">
        <v>950</v>
      </c>
      <c r="AM30" s="1339">
        <v>297.60000000000002</v>
      </c>
      <c r="AN30" s="1355">
        <v>531</v>
      </c>
      <c r="AO30" s="1389">
        <v>126.67</v>
      </c>
      <c r="AP30" s="1389">
        <v>255</v>
      </c>
      <c r="AQ30" s="1389">
        <v>730</v>
      </c>
      <c r="AR30" s="1389">
        <v>430</v>
      </c>
      <c r="AS30" s="1389">
        <v>86</v>
      </c>
      <c r="AT30" s="1389">
        <v>195</v>
      </c>
      <c r="AU30" s="1345" t="e">
        <f>フェロモントラップ野帳!$G$150</f>
        <v>#N/A</v>
      </c>
      <c r="AV30" s="1273"/>
      <c r="AW30" s="1274" t="s">
        <v>304</v>
      </c>
      <c r="AX30" s="403"/>
      <c r="AY30" s="1248"/>
      <c r="BA30" s="403"/>
      <c r="BB30" s="403"/>
      <c r="BC30" s="403"/>
      <c r="BD30" s="403"/>
      <c r="BE30" s="403"/>
      <c r="BF30" s="403"/>
      <c r="BG30" s="741"/>
      <c r="BH30" s="403"/>
      <c r="BI30" s="403"/>
      <c r="BJ30" s="403"/>
      <c r="BK30" s="403"/>
      <c r="BL30" s="741"/>
      <c r="BM30" s="741"/>
      <c r="BN30" s="741"/>
      <c r="BO30" s="741"/>
      <c r="BP30" s="741"/>
      <c r="BQ30" s="741"/>
      <c r="BR30" s="741"/>
      <c r="BS30" s="741"/>
      <c r="BT30" s="741"/>
      <c r="BU30" s="403"/>
      <c r="BV30" s="403"/>
      <c r="BW30" s="403"/>
      <c r="BX30" s="403"/>
      <c r="BY30" s="403"/>
      <c r="BZ30" s="403"/>
      <c r="CA30" s="403"/>
    </row>
    <row r="31" spans="1:79" ht="13.5" customHeight="1" thickBot="1">
      <c r="A31" s="403"/>
      <c r="B31" s="1247"/>
      <c r="C31" s="1364" t="s">
        <v>195</v>
      </c>
      <c r="D31" s="1522" t="e">
        <f t="shared" si="4"/>
        <v>#N/A</v>
      </c>
      <c r="E31" s="1612">
        <f t="shared" si="3"/>
        <v>209.68333333333334</v>
      </c>
      <c r="F31" s="1758"/>
      <c r="G31" s="1758"/>
      <c r="H31" s="1759" t="e">
        <f t="shared" ca="1" si="5"/>
        <v>#DIV/0!</v>
      </c>
      <c r="I31" s="717"/>
      <c r="J31" s="1718"/>
      <c r="K31" s="1273"/>
      <c r="L31" s="1280" t="s">
        <v>305</v>
      </c>
      <c r="M31" s="1540">
        <v>162</v>
      </c>
      <c r="N31" s="1268">
        <v>708</v>
      </c>
      <c r="O31" s="1303">
        <v>90</v>
      </c>
      <c r="P31" s="1268">
        <v>133</v>
      </c>
      <c r="Q31" s="1268">
        <v>419</v>
      </c>
      <c r="R31" s="1268">
        <v>35</v>
      </c>
      <c r="S31" s="1268">
        <v>390</v>
      </c>
      <c r="T31" s="1268">
        <v>24</v>
      </c>
      <c r="U31" s="1268">
        <v>136</v>
      </c>
      <c r="V31" s="1268">
        <v>24</v>
      </c>
      <c r="W31" s="1268">
        <v>120</v>
      </c>
      <c r="X31" s="1268">
        <v>87</v>
      </c>
      <c r="Y31" s="1268">
        <v>19</v>
      </c>
      <c r="Z31" s="1268">
        <v>4</v>
      </c>
      <c r="AA31" s="1268">
        <v>118</v>
      </c>
      <c r="AB31" s="1268">
        <v>21</v>
      </c>
      <c r="AC31" s="1281">
        <v>88</v>
      </c>
      <c r="AD31" s="1281">
        <v>10</v>
      </c>
      <c r="AE31" s="1281">
        <v>95</v>
      </c>
      <c r="AF31" s="1281">
        <v>62</v>
      </c>
      <c r="AG31" s="1281">
        <v>75</v>
      </c>
      <c r="AH31" s="1281">
        <v>42</v>
      </c>
      <c r="AI31" s="1541">
        <v>39</v>
      </c>
      <c r="AJ31" s="511">
        <v>48</v>
      </c>
      <c r="AK31" s="501">
        <v>15</v>
      </c>
      <c r="AL31" s="1328">
        <v>879</v>
      </c>
      <c r="AM31" s="1342">
        <v>335.5</v>
      </c>
      <c r="AN31" s="1358">
        <v>139</v>
      </c>
      <c r="AO31" s="1392">
        <v>49</v>
      </c>
      <c r="AP31" s="1392">
        <v>133</v>
      </c>
      <c r="AQ31" s="1392">
        <v>256</v>
      </c>
      <c r="AR31" s="1392">
        <v>138</v>
      </c>
      <c r="AS31" s="1392">
        <v>49</v>
      </c>
      <c r="AT31" s="1392">
        <v>103.33333333333334</v>
      </c>
      <c r="AU31" s="1348" t="e">
        <f>フェロモントラップ野帳!$G$156</f>
        <v>#N/A</v>
      </c>
      <c r="AV31" s="1273"/>
      <c r="AW31" s="1280" t="s">
        <v>305</v>
      </c>
      <c r="AX31" s="403"/>
      <c r="AY31" s="1248"/>
      <c r="AZ31" s="1171"/>
      <c r="BA31" s="403"/>
      <c r="BB31" s="403"/>
      <c r="BC31" s="403"/>
      <c r="BD31" s="403"/>
      <c r="BE31" s="403"/>
      <c r="BF31" s="403"/>
      <c r="BG31" s="403"/>
      <c r="BH31" s="403"/>
      <c r="BI31" s="403"/>
      <c r="BJ31" s="403"/>
      <c r="BK31" s="403"/>
      <c r="BL31" s="403"/>
      <c r="BM31" s="403"/>
      <c r="BN31" s="403"/>
      <c r="BO31" s="403"/>
      <c r="BP31" s="403"/>
      <c r="BQ31" s="403"/>
      <c r="BR31" s="403"/>
      <c r="BS31" s="403"/>
      <c r="BT31" s="403"/>
      <c r="BU31" s="403"/>
      <c r="BV31" s="403"/>
      <c r="BW31" s="403"/>
      <c r="BX31" s="403"/>
      <c r="BY31" s="403"/>
      <c r="BZ31" s="403"/>
      <c r="CA31" s="403"/>
    </row>
    <row r="32" spans="1:79" ht="13.5" customHeight="1">
      <c r="A32" s="403"/>
      <c r="B32" s="1246"/>
      <c r="C32" s="1286" t="s">
        <v>189</v>
      </c>
      <c r="D32" s="1323" t="e">
        <f t="shared" si="4"/>
        <v>#N/A</v>
      </c>
      <c r="E32" s="1606">
        <f t="shared" si="3"/>
        <v>72.423666666666662</v>
      </c>
      <c r="F32" s="1760"/>
      <c r="G32" s="1760"/>
      <c r="H32" s="1761" t="e">
        <f t="shared" ca="1" si="5"/>
        <v>#DIV/0!</v>
      </c>
      <c r="I32" s="715"/>
      <c r="J32" s="1718"/>
      <c r="K32" s="1253"/>
      <c r="L32" s="1271" t="s">
        <v>300</v>
      </c>
      <c r="M32" s="1542">
        <v>93</v>
      </c>
      <c r="N32" s="1282">
        <v>449</v>
      </c>
      <c r="O32" s="1305">
        <v>224</v>
      </c>
      <c r="P32" s="1282">
        <v>181</v>
      </c>
      <c r="Q32" s="1282">
        <v>122</v>
      </c>
      <c r="R32" s="1282">
        <v>41</v>
      </c>
      <c r="S32" s="1282">
        <v>60</v>
      </c>
      <c r="T32" s="1282">
        <v>56</v>
      </c>
      <c r="U32" s="1282">
        <v>213</v>
      </c>
      <c r="V32" s="1282">
        <v>1</v>
      </c>
      <c r="W32" s="1282">
        <v>115</v>
      </c>
      <c r="X32" s="1282">
        <v>155</v>
      </c>
      <c r="Y32" s="1282">
        <v>15</v>
      </c>
      <c r="Z32" s="1282">
        <v>0</v>
      </c>
      <c r="AA32" s="1282">
        <v>43</v>
      </c>
      <c r="AB32" s="1282">
        <v>6</v>
      </c>
      <c r="AC32" s="1283">
        <v>19</v>
      </c>
      <c r="AD32" s="1283">
        <v>6</v>
      </c>
      <c r="AE32" s="1283">
        <v>17</v>
      </c>
      <c r="AF32" s="1283">
        <v>3</v>
      </c>
      <c r="AG32" s="1283">
        <v>126</v>
      </c>
      <c r="AH32" s="1283">
        <v>49</v>
      </c>
      <c r="AI32" s="1543">
        <v>12</v>
      </c>
      <c r="AJ32" s="519">
        <v>3</v>
      </c>
      <c r="AK32" s="486">
        <v>0</v>
      </c>
      <c r="AL32" s="1327">
        <v>296.7</v>
      </c>
      <c r="AM32" s="1343">
        <v>177.5</v>
      </c>
      <c r="AN32" s="1359">
        <v>113.57</v>
      </c>
      <c r="AO32" s="1393">
        <v>23</v>
      </c>
      <c r="AP32" s="1393">
        <v>14</v>
      </c>
      <c r="AQ32" s="1393">
        <v>52</v>
      </c>
      <c r="AR32" s="1393">
        <v>20</v>
      </c>
      <c r="AS32" s="1393">
        <v>6</v>
      </c>
      <c r="AT32" s="1393">
        <v>21.466666666666669</v>
      </c>
      <c r="AU32" s="1349" t="e">
        <f>フェロモントラップ野帳!$G$170</f>
        <v>#N/A</v>
      </c>
      <c r="AV32" s="1253"/>
      <c r="AW32" s="1271" t="s">
        <v>300</v>
      </c>
      <c r="AX32" s="403"/>
      <c r="AY32" s="1248"/>
      <c r="AZ32" s="403"/>
      <c r="BA32" s="741"/>
      <c r="BB32" s="403"/>
      <c r="BC32" s="403"/>
      <c r="BD32" s="403"/>
      <c r="BE32" s="403"/>
      <c r="BF32" s="403"/>
      <c r="BG32" s="403"/>
      <c r="BH32" s="403"/>
      <c r="BI32" s="403"/>
      <c r="BJ32" s="403"/>
      <c r="BK32" s="403"/>
      <c r="BL32" s="403"/>
      <c r="BM32" s="403"/>
      <c r="BN32" s="403"/>
      <c r="BO32" s="403"/>
      <c r="BP32" s="403"/>
      <c r="BQ32" s="403"/>
      <c r="BR32" s="403"/>
      <c r="BS32" s="403"/>
      <c r="BT32" s="403"/>
      <c r="BU32" s="403"/>
      <c r="BV32" s="403"/>
      <c r="BW32" s="403"/>
      <c r="BX32" s="403"/>
      <c r="BY32" s="403"/>
      <c r="BZ32" s="403"/>
      <c r="CA32" s="403"/>
    </row>
    <row r="33" spans="1:79" ht="13.5" customHeight="1">
      <c r="A33" s="403"/>
      <c r="B33" s="1247"/>
      <c r="C33" s="1264" t="s">
        <v>190</v>
      </c>
      <c r="D33" s="1270" t="e">
        <f t="shared" si="4"/>
        <v>#N/A</v>
      </c>
      <c r="E33" s="1611">
        <f t="shared" si="3"/>
        <v>20.164000000000001</v>
      </c>
      <c r="F33" s="1756"/>
      <c r="G33" s="1756"/>
      <c r="H33" s="1757" t="e">
        <f t="shared" ca="1" si="5"/>
        <v>#DIV/0!</v>
      </c>
      <c r="I33" s="715"/>
      <c r="J33" s="1718"/>
      <c r="K33" s="1273"/>
      <c r="L33" s="1274" t="s">
        <v>301</v>
      </c>
      <c r="M33" s="1537">
        <v>14</v>
      </c>
      <c r="N33" s="1265">
        <v>184</v>
      </c>
      <c r="O33" s="1302">
        <v>188</v>
      </c>
      <c r="P33" s="1265">
        <v>122</v>
      </c>
      <c r="Q33" s="1265">
        <v>0</v>
      </c>
      <c r="R33" s="1265">
        <v>17</v>
      </c>
      <c r="S33" s="1265">
        <v>1</v>
      </c>
      <c r="T33" s="1265">
        <v>20</v>
      </c>
      <c r="U33" s="1265">
        <v>40</v>
      </c>
      <c r="V33" s="1265">
        <v>5</v>
      </c>
      <c r="W33" s="1265">
        <v>14</v>
      </c>
      <c r="X33" s="1265">
        <v>45</v>
      </c>
      <c r="Y33" s="1265">
        <v>1</v>
      </c>
      <c r="Z33" s="1265">
        <v>0</v>
      </c>
      <c r="AA33" s="1265">
        <v>5</v>
      </c>
      <c r="AB33" s="1265">
        <v>1</v>
      </c>
      <c r="AC33" s="1275">
        <v>7</v>
      </c>
      <c r="AD33" s="1275">
        <v>1</v>
      </c>
      <c r="AE33" s="1275">
        <v>21</v>
      </c>
      <c r="AF33" s="1275">
        <v>1</v>
      </c>
      <c r="AG33" s="1275">
        <v>5</v>
      </c>
      <c r="AH33" s="1275">
        <v>13</v>
      </c>
      <c r="AI33" s="1538">
        <v>2</v>
      </c>
      <c r="AJ33" s="493">
        <v>1</v>
      </c>
      <c r="AK33" s="493">
        <v>0</v>
      </c>
      <c r="AL33" s="1322">
        <v>123.3</v>
      </c>
      <c r="AM33" s="1339">
        <v>5</v>
      </c>
      <c r="AN33" s="1355">
        <v>53.43</v>
      </c>
      <c r="AO33" s="1389">
        <v>0.71</v>
      </c>
      <c r="AP33" s="1389">
        <v>9</v>
      </c>
      <c r="AQ33" s="1389">
        <v>2</v>
      </c>
      <c r="AR33" s="1389">
        <v>6</v>
      </c>
      <c r="AS33" s="1389">
        <v>2</v>
      </c>
      <c r="AT33" s="1389">
        <v>0.2</v>
      </c>
      <c r="AU33" s="1345" t="e">
        <f>フェロモントラップ野帳!$G$175</f>
        <v>#N/A</v>
      </c>
      <c r="AV33" s="1273"/>
      <c r="AW33" s="1274" t="s">
        <v>301</v>
      </c>
      <c r="AX33" s="403"/>
      <c r="AY33" s="1248"/>
      <c r="AZ33" s="1164"/>
      <c r="BA33" s="403"/>
      <c r="BB33" s="403"/>
      <c r="BC33" s="403"/>
      <c r="BD33" s="403"/>
      <c r="BE33" s="403"/>
      <c r="BF33" s="403"/>
      <c r="BG33" s="403"/>
      <c r="BH33" s="403"/>
      <c r="BI33" s="403"/>
      <c r="BJ33" s="403"/>
      <c r="BK33" s="403"/>
      <c r="BL33" s="403"/>
      <c r="BM33" s="403"/>
      <c r="BN33" s="403"/>
      <c r="BO33" s="403"/>
      <c r="BP33" s="403"/>
      <c r="BQ33" s="403"/>
      <c r="BR33" s="403"/>
      <c r="BS33" s="403"/>
      <c r="BT33" s="403"/>
      <c r="BU33" s="403"/>
      <c r="BV33" s="403"/>
      <c r="BW33" s="403"/>
      <c r="BX33" s="403"/>
      <c r="BY33" s="403"/>
      <c r="BZ33" s="403"/>
      <c r="CA33" s="403"/>
    </row>
    <row r="34" spans="1:79" ht="13.5" customHeight="1">
      <c r="A34" s="403"/>
      <c r="B34" s="1247" t="s">
        <v>200</v>
      </c>
      <c r="C34" s="1264" t="s">
        <v>192</v>
      </c>
      <c r="D34" s="1270" t="e">
        <f t="shared" si="4"/>
        <v>#N/A</v>
      </c>
      <c r="E34" s="1611">
        <f t="shared" si="3"/>
        <v>5.6859999999999999</v>
      </c>
      <c r="F34" s="1756"/>
      <c r="G34" s="1756"/>
      <c r="H34" s="1757" t="e">
        <f t="shared" ca="1" si="5"/>
        <v>#DIV/0!</v>
      </c>
      <c r="I34" s="715"/>
      <c r="J34" s="1718"/>
      <c r="K34" s="1273" t="s">
        <v>289</v>
      </c>
      <c r="L34" s="1274" t="s">
        <v>302</v>
      </c>
      <c r="M34" s="1537">
        <v>0</v>
      </c>
      <c r="N34" s="1265">
        <v>48</v>
      </c>
      <c r="O34" s="1302">
        <v>32</v>
      </c>
      <c r="P34" s="1265">
        <v>33</v>
      </c>
      <c r="Q34" s="1265">
        <v>1</v>
      </c>
      <c r="R34" s="1265">
        <v>4</v>
      </c>
      <c r="S34" s="1265">
        <v>0</v>
      </c>
      <c r="T34" s="1265">
        <v>1</v>
      </c>
      <c r="U34" s="1265">
        <v>11</v>
      </c>
      <c r="V34" s="1265">
        <v>1</v>
      </c>
      <c r="W34" s="1265">
        <v>2</v>
      </c>
      <c r="X34" s="1265">
        <v>7</v>
      </c>
      <c r="Y34" s="1265">
        <v>0</v>
      </c>
      <c r="Z34" s="1265">
        <v>4</v>
      </c>
      <c r="AA34" s="1265">
        <v>0</v>
      </c>
      <c r="AB34" s="1265">
        <v>2</v>
      </c>
      <c r="AC34" s="1275">
        <v>1</v>
      </c>
      <c r="AD34" s="1275">
        <v>5</v>
      </c>
      <c r="AE34" s="1275">
        <v>1</v>
      </c>
      <c r="AF34" s="1275">
        <v>0</v>
      </c>
      <c r="AG34" s="1275">
        <v>2</v>
      </c>
      <c r="AH34" s="1275">
        <v>4</v>
      </c>
      <c r="AI34" s="1538">
        <v>1</v>
      </c>
      <c r="AJ34" s="493">
        <v>2</v>
      </c>
      <c r="AK34" s="493">
        <v>4.5</v>
      </c>
      <c r="AL34" s="1322">
        <v>7.9</v>
      </c>
      <c r="AM34" s="1339">
        <v>1.67</v>
      </c>
      <c r="AN34" s="1355">
        <v>1</v>
      </c>
      <c r="AO34" s="1389">
        <v>0.28999999999999998</v>
      </c>
      <c r="AP34" s="1389">
        <v>18</v>
      </c>
      <c r="AQ34" s="1389">
        <v>2.5</v>
      </c>
      <c r="AR34" s="1389">
        <v>9</v>
      </c>
      <c r="AS34" s="1389">
        <v>10</v>
      </c>
      <c r="AT34" s="1389">
        <v>2</v>
      </c>
      <c r="AU34" s="1345" t="e">
        <f>フェロモントラップ野帳!$G$180</f>
        <v>#N/A</v>
      </c>
      <c r="AV34" s="1273" t="s">
        <v>289</v>
      </c>
      <c r="AW34" s="1274" t="s">
        <v>302</v>
      </c>
      <c r="AX34" s="1243"/>
      <c r="AY34" s="1248"/>
      <c r="AZ34" s="1243"/>
      <c r="BA34" s="403"/>
      <c r="BB34" s="403"/>
      <c r="BC34" s="403"/>
      <c r="BD34" s="403"/>
      <c r="BE34" s="403"/>
      <c r="BF34" s="403"/>
      <c r="BG34" s="403"/>
      <c r="BH34" s="403"/>
      <c r="BI34" s="403"/>
      <c r="BJ34" s="403"/>
      <c r="BK34" s="403"/>
      <c r="BL34" s="403"/>
      <c r="BM34" s="403"/>
      <c r="BN34" s="403"/>
      <c r="BO34" s="403"/>
      <c r="BP34" s="403"/>
      <c r="BQ34" s="403"/>
      <c r="BR34" s="403"/>
      <c r="BS34" s="403"/>
      <c r="BT34" s="403"/>
      <c r="BU34" s="403"/>
      <c r="BV34" s="403"/>
      <c r="BW34" s="403"/>
      <c r="BX34" s="403"/>
      <c r="BY34" s="403"/>
      <c r="BZ34" s="403"/>
      <c r="CA34" s="403"/>
    </row>
    <row r="35" spans="1:79" ht="13.5" customHeight="1">
      <c r="A35" s="403"/>
      <c r="B35" s="1247"/>
      <c r="C35" s="1264" t="s">
        <v>193</v>
      </c>
      <c r="D35" s="1270" t="e">
        <f t="shared" si="4"/>
        <v>#N/A</v>
      </c>
      <c r="E35" s="1611">
        <f t="shared" si="3"/>
        <v>49.160333333333334</v>
      </c>
      <c r="F35" s="1756"/>
      <c r="G35" s="1756"/>
      <c r="H35" s="1757" t="e">
        <f t="shared" ca="1" si="5"/>
        <v>#DIV/0!</v>
      </c>
      <c r="I35" s="715"/>
      <c r="J35" s="1718"/>
      <c r="K35" s="1273"/>
      <c r="L35" s="1274" t="s">
        <v>303</v>
      </c>
      <c r="M35" s="1537">
        <v>0</v>
      </c>
      <c r="N35" s="1265">
        <v>9</v>
      </c>
      <c r="O35" s="1302">
        <v>10</v>
      </c>
      <c r="P35" s="1265">
        <v>16</v>
      </c>
      <c r="Q35" s="1265">
        <v>1</v>
      </c>
      <c r="R35" s="1265">
        <v>3</v>
      </c>
      <c r="S35" s="1265">
        <v>5</v>
      </c>
      <c r="T35" s="1265">
        <v>0</v>
      </c>
      <c r="U35" s="1265">
        <v>11</v>
      </c>
      <c r="V35" s="1265">
        <v>0</v>
      </c>
      <c r="W35" s="1265">
        <v>2</v>
      </c>
      <c r="X35" s="1265">
        <v>4</v>
      </c>
      <c r="Y35" s="1265">
        <v>0</v>
      </c>
      <c r="Z35" s="1265">
        <v>51</v>
      </c>
      <c r="AA35" s="1265">
        <v>0</v>
      </c>
      <c r="AB35" s="1265">
        <v>1</v>
      </c>
      <c r="AC35" s="1275">
        <v>1</v>
      </c>
      <c r="AD35" s="1275">
        <v>5</v>
      </c>
      <c r="AE35" s="1275">
        <v>3</v>
      </c>
      <c r="AF35" s="1275">
        <v>8</v>
      </c>
      <c r="AG35" s="1275">
        <v>5</v>
      </c>
      <c r="AH35" s="1275">
        <v>3</v>
      </c>
      <c r="AI35" s="1538">
        <v>0</v>
      </c>
      <c r="AJ35" s="493">
        <v>0</v>
      </c>
      <c r="AK35" s="493">
        <v>12.5</v>
      </c>
      <c r="AL35" s="1322">
        <v>8.1</v>
      </c>
      <c r="AM35" s="1339">
        <v>3.5</v>
      </c>
      <c r="AN35" s="1355">
        <v>6.67</v>
      </c>
      <c r="AO35" s="1389">
        <v>14</v>
      </c>
      <c r="AP35" s="1389">
        <v>52</v>
      </c>
      <c r="AQ35" s="1389">
        <v>277.5</v>
      </c>
      <c r="AR35" s="1389">
        <v>39</v>
      </c>
      <c r="AS35" s="1389">
        <v>74.166666666666671</v>
      </c>
      <c r="AT35" s="1389">
        <v>4.166666666666667</v>
      </c>
      <c r="AU35" s="1345" t="e">
        <f>フェロモントラップ野帳!$G$185</f>
        <v>#N/A</v>
      </c>
      <c r="AV35" s="1273"/>
      <c r="AW35" s="1274" t="s">
        <v>303</v>
      </c>
      <c r="AX35" s="403"/>
      <c r="AY35" s="1248"/>
      <c r="AZ35" s="403"/>
      <c r="BA35" s="403"/>
      <c r="BB35" s="403"/>
      <c r="BC35" s="403"/>
      <c r="BD35" s="403"/>
      <c r="BE35" s="403"/>
      <c r="BF35" s="403"/>
      <c r="BG35" s="403"/>
      <c r="BH35" s="403"/>
      <c r="BI35" s="403"/>
      <c r="BJ35" s="403"/>
      <c r="BK35" s="403"/>
      <c r="BL35" s="403"/>
      <c r="BM35" s="403"/>
      <c r="BN35" s="403"/>
      <c r="BO35" s="403"/>
      <c r="BP35" s="403"/>
      <c r="BQ35" s="403"/>
      <c r="BR35" s="403"/>
      <c r="BS35" s="403"/>
      <c r="BT35" s="403"/>
      <c r="BU35" s="403"/>
      <c r="BV35" s="403"/>
      <c r="BW35" s="403"/>
      <c r="BX35" s="403"/>
      <c r="BY35" s="403"/>
      <c r="BZ35" s="403"/>
      <c r="CA35" s="403"/>
    </row>
    <row r="36" spans="1:79" ht="13.5" customHeight="1">
      <c r="A36" s="403"/>
      <c r="B36" s="1247"/>
      <c r="C36" s="1264" t="s">
        <v>194</v>
      </c>
      <c r="D36" s="1270" t="e">
        <f t="shared" si="4"/>
        <v>#N/A</v>
      </c>
      <c r="E36" s="1611">
        <f t="shared" si="3"/>
        <v>77.079333333333338</v>
      </c>
      <c r="F36" s="1756"/>
      <c r="G36" s="1756"/>
      <c r="H36" s="1757" t="e">
        <f t="shared" ca="1" si="5"/>
        <v>#DIV/0!</v>
      </c>
      <c r="I36" s="715"/>
      <c r="J36" s="1718"/>
      <c r="K36" s="1273"/>
      <c r="L36" s="1274" t="s">
        <v>304</v>
      </c>
      <c r="M36" s="1537">
        <v>3</v>
      </c>
      <c r="N36" s="1265">
        <v>4</v>
      </c>
      <c r="O36" s="1302">
        <v>0</v>
      </c>
      <c r="P36" s="1265">
        <v>1</v>
      </c>
      <c r="Q36" s="1265">
        <v>0</v>
      </c>
      <c r="R36" s="1265">
        <v>0</v>
      </c>
      <c r="S36" s="1265">
        <v>16</v>
      </c>
      <c r="T36" s="1265">
        <v>0</v>
      </c>
      <c r="U36" s="1265">
        <v>1</v>
      </c>
      <c r="V36" s="1265">
        <v>1</v>
      </c>
      <c r="W36" s="1265">
        <v>1</v>
      </c>
      <c r="X36" s="1265">
        <v>0</v>
      </c>
      <c r="Y36" s="1265">
        <v>9</v>
      </c>
      <c r="Z36" s="1265">
        <v>33</v>
      </c>
      <c r="AA36" s="1265">
        <v>9</v>
      </c>
      <c r="AB36" s="1265">
        <v>0</v>
      </c>
      <c r="AC36" s="1275">
        <v>3</v>
      </c>
      <c r="AD36" s="1275">
        <v>15</v>
      </c>
      <c r="AE36" s="1275">
        <v>10</v>
      </c>
      <c r="AF36" s="1275">
        <v>32</v>
      </c>
      <c r="AG36" s="1275">
        <v>30</v>
      </c>
      <c r="AH36" s="1275">
        <v>1</v>
      </c>
      <c r="AI36" s="1538">
        <v>27</v>
      </c>
      <c r="AJ36" s="493">
        <v>5.7</v>
      </c>
      <c r="AK36" s="493">
        <v>319</v>
      </c>
      <c r="AL36" s="1322">
        <v>29</v>
      </c>
      <c r="AM36" s="1339">
        <v>10.8</v>
      </c>
      <c r="AN36" s="1355">
        <v>46.33</v>
      </c>
      <c r="AO36" s="1389">
        <v>65.83</v>
      </c>
      <c r="AP36" s="1389">
        <v>112</v>
      </c>
      <c r="AQ36" s="1389">
        <v>66</v>
      </c>
      <c r="AR36" s="1389">
        <v>1</v>
      </c>
      <c r="AS36" s="1389">
        <v>110</v>
      </c>
      <c r="AT36" s="1389">
        <v>10.833333333333334</v>
      </c>
      <c r="AU36" s="1345" t="e">
        <f>フェロモントラップ野帳!$G$190</f>
        <v>#N/A</v>
      </c>
      <c r="AV36" s="1273"/>
      <c r="AW36" s="1274" t="s">
        <v>304</v>
      </c>
      <c r="AX36" s="403"/>
      <c r="AY36" s="1248"/>
      <c r="AZ36" s="403"/>
      <c r="BA36" s="403"/>
      <c r="BB36" s="403"/>
      <c r="BC36" s="403"/>
      <c r="BD36" s="403"/>
      <c r="BE36" s="403"/>
      <c r="BF36" s="403"/>
      <c r="BG36" s="403"/>
      <c r="BH36" s="403"/>
      <c r="BI36" s="403"/>
      <c r="BJ36" s="403"/>
      <c r="BK36" s="403"/>
      <c r="BL36" s="403"/>
      <c r="BM36" s="403"/>
      <c r="BN36" s="403"/>
      <c r="BO36" s="403"/>
      <c r="BP36" s="403"/>
      <c r="BQ36" s="403"/>
      <c r="BR36" s="403"/>
      <c r="BS36" s="403"/>
      <c r="BT36" s="403"/>
      <c r="BU36" s="403"/>
      <c r="BV36" s="403"/>
      <c r="BW36" s="403"/>
      <c r="BX36" s="403"/>
      <c r="BY36" s="403"/>
      <c r="BZ36" s="403"/>
      <c r="CA36" s="403"/>
    </row>
    <row r="37" spans="1:79" ht="13.5" customHeight="1" thickBot="1">
      <c r="A37" s="403"/>
      <c r="B37" s="1267"/>
      <c r="C37" s="1261" t="s">
        <v>195</v>
      </c>
      <c r="D37" s="1300" t="e">
        <f t="shared" si="4"/>
        <v>#N/A</v>
      </c>
      <c r="E37" s="1608">
        <f t="shared" si="3"/>
        <v>75.210000000000008</v>
      </c>
      <c r="F37" s="1762"/>
      <c r="G37" s="1762"/>
      <c r="H37" s="1763" t="e">
        <f t="shared" ca="1" si="5"/>
        <v>#DIV/0!</v>
      </c>
      <c r="I37" s="717"/>
      <c r="J37" s="1718"/>
      <c r="K37" s="1279"/>
      <c r="L37" s="1280" t="s">
        <v>305</v>
      </c>
      <c r="M37" s="1545">
        <v>8</v>
      </c>
      <c r="N37" s="1268">
        <v>1</v>
      </c>
      <c r="O37" s="1308">
        <v>1</v>
      </c>
      <c r="P37" s="1287">
        <v>20</v>
      </c>
      <c r="Q37" s="1287">
        <v>1</v>
      </c>
      <c r="R37" s="1287">
        <v>8</v>
      </c>
      <c r="S37" s="1287">
        <v>21</v>
      </c>
      <c r="T37" s="1287">
        <v>0</v>
      </c>
      <c r="U37" s="1287">
        <v>0</v>
      </c>
      <c r="V37" s="1287">
        <v>2</v>
      </c>
      <c r="W37" s="1287">
        <v>3</v>
      </c>
      <c r="X37" s="1287">
        <v>0</v>
      </c>
      <c r="Y37" s="1287">
        <v>26</v>
      </c>
      <c r="Z37" s="1287">
        <v>69</v>
      </c>
      <c r="AA37" s="1287">
        <v>26</v>
      </c>
      <c r="AB37" s="1287">
        <v>1</v>
      </c>
      <c r="AC37" s="1278">
        <v>1</v>
      </c>
      <c r="AD37" s="1278">
        <v>13</v>
      </c>
      <c r="AE37" s="1278">
        <v>8</v>
      </c>
      <c r="AF37" s="1278">
        <v>32</v>
      </c>
      <c r="AG37" s="1278">
        <v>62</v>
      </c>
      <c r="AH37" s="1278">
        <v>15</v>
      </c>
      <c r="AI37" s="1539">
        <v>78</v>
      </c>
      <c r="AJ37" s="501">
        <v>22.54</v>
      </c>
      <c r="AK37" s="501">
        <v>152</v>
      </c>
      <c r="AL37" s="1328">
        <v>55</v>
      </c>
      <c r="AM37" s="1342">
        <v>37.5</v>
      </c>
      <c r="AN37" s="1358">
        <v>120</v>
      </c>
      <c r="AO37" s="1392">
        <v>35.17</v>
      </c>
      <c r="AP37" s="1392">
        <v>195.43</v>
      </c>
      <c r="AQ37" s="1392">
        <v>29</v>
      </c>
      <c r="AR37" s="1392">
        <v>93</v>
      </c>
      <c r="AS37" s="1392">
        <v>30</v>
      </c>
      <c r="AT37" s="1392">
        <v>5</v>
      </c>
      <c r="AU37" s="1348" t="e">
        <f>フェロモントラップ野帳!$G$196</f>
        <v>#N/A</v>
      </c>
      <c r="AV37" s="1279"/>
      <c r="AW37" s="1280" t="s">
        <v>305</v>
      </c>
      <c r="AX37" s="403"/>
      <c r="AY37" s="1248"/>
      <c r="AZ37" s="403"/>
      <c r="BA37" s="403"/>
      <c r="BB37" s="403"/>
      <c r="BC37" s="403"/>
      <c r="BD37" s="403"/>
      <c r="BE37" s="403"/>
      <c r="BF37" s="403"/>
      <c r="BG37" s="403"/>
      <c r="BH37" s="403"/>
      <c r="BI37" s="403"/>
      <c r="BJ37" s="403"/>
      <c r="BK37" s="403"/>
      <c r="BL37" s="403"/>
      <c r="BM37" s="403"/>
      <c r="BN37" s="403"/>
      <c r="BO37" s="403"/>
      <c r="BP37" s="403"/>
      <c r="BQ37" s="403"/>
      <c r="BR37" s="403"/>
      <c r="BS37" s="403"/>
      <c r="BT37" s="403"/>
      <c r="BU37" s="403"/>
      <c r="BV37" s="403"/>
      <c r="BW37" s="403"/>
      <c r="BX37" s="403"/>
      <c r="BY37" s="403"/>
      <c r="BZ37" s="403"/>
      <c r="CA37" s="403"/>
    </row>
    <row r="38" spans="1:79" ht="13.5" customHeight="1">
      <c r="A38" s="403"/>
      <c r="B38" s="1247"/>
      <c r="C38" s="450" t="s">
        <v>189</v>
      </c>
      <c r="D38" s="1270" t="e">
        <f t="shared" si="4"/>
        <v>#N/A</v>
      </c>
      <c r="E38" s="779">
        <f t="shared" si="3"/>
        <v>101.15842857142857</v>
      </c>
      <c r="F38" s="1754"/>
      <c r="G38" s="1754"/>
      <c r="H38" s="1755" t="e">
        <f t="shared" ca="1" si="5"/>
        <v>#DIV/0!</v>
      </c>
      <c r="I38" s="715"/>
      <c r="J38" s="1718"/>
      <c r="K38" s="1273"/>
      <c r="L38" s="1271" t="s">
        <v>300</v>
      </c>
      <c r="M38" s="1535">
        <v>22</v>
      </c>
      <c r="N38" s="1282">
        <v>74</v>
      </c>
      <c r="O38" s="1301">
        <v>16</v>
      </c>
      <c r="P38" s="1262">
        <v>62</v>
      </c>
      <c r="Q38" s="1262">
        <v>45</v>
      </c>
      <c r="R38" s="1262">
        <v>11</v>
      </c>
      <c r="S38" s="1262">
        <v>22</v>
      </c>
      <c r="T38" s="1262">
        <v>0</v>
      </c>
      <c r="U38" s="1262">
        <v>6</v>
      </c>
      <c r="V38" s="1262">
        <v>2</v>
      </c>
      <c r="W38" s="1262">
        <v>98</v>
      </c>
      <c r="X38" s="1262">
        <v>28</v>
      </c>
      <c r="Y38" s="1262">
        <v>22</v>
      </c>
      <c r="Z38" s="1262">
        <v>12</v>
      </c>
      <c r="AA38" s="1262">
        <v>54</v>
      </c>
      <c r="AB38" s="1262">
        <v>5</v>
      </c>
      <c r="AC38" s="1272">
        <v>3</v>
      </c>
      <c r="AD38" s="1272">
        <v>23</v>
      </c>
      <c r="AE38" s="1272">
        <v>95</v>
      </c>
      <c r="AF38" s="1272">
        <v>31</v>
      </c>
      <c r="AG38" s="1272">
        <v>75</v>
      </c>
      <c r="AH38" s="1272">
        <v>9</v>
      </c>
      <c r="AI38" s="1536">
        <v>88</v>
      </c>
      <c r="AJ38" s="486">
        <v>9.4</v>
      </c>
      <c r="AK38" s="486">
        <v>30</v>
      </c>
      <c r="AL38" s="1327">
        <v>119.3</v>
      </c>
      <c r="AM38" s="1343">
        <v>54</v>
      </c>
      <c r="AN38" s="1359">
        <v>117</v>
      </c>
      <c r="AO38" s="1393">
        <v>76</v>
      </c>
      <c r="AP38" s="1393">
        <v>92.57</v>
      </c>
      <c r="AQ38" s="1393">
        <v>225.71428571428572</v>
      </c>
      <c r="AR38" s="1393">
        <v>287</v>
      </c>
      <c r="AS38" s="1393">
        <v>1</v>
      </c>
      <c r="AT38" s="1393">
        <v>9</v>
      </c>
      <c r="AU38" s="1349" t="e">
        <f>フェロモントラップ野帳!$G$210</f>
        <v>#N/A</v>
      </c>
      <c r="AV38" s="1273"/>
      <c r="AW38" s="1271" t="s">
        <v>300</v>
      </c>
      <c r="AX38" s="403"/>
      <c r="AY38" s="1248"/>
      <c r="AZ38" s="403"/>
      <c r="BA38" s="403"/>
      <c r="BB38" s="403"/>
      <c r="BC38" s="403"/>
      <c r="BD38" s="403"/>
      <c r="BE38" s="403"/>
      <c r="BF38" s="403"/>
      <c r="BG38" s="403"/>
      <c r="BH38" s="403"/>
      <c r="BI38" s="403"/>
      <c r="BJ38" s="403"/>
      <c r="BK38" s="403"/>
      <c r="BL38" s="403"/>
      <c r="BM38" s="403"/>
      <c r="BN38" s="403"/>
      <c r="BO38" s="403"/>
      <c r="BP38" s="403"/>
      <c r="BQ38" s="403"/>
      <c r="BR38" s="403"/>
      <c r="BS38" s="403"/>
      <c r="BT38" s="403"/>
      <c r="BU38" s="403"/>
      <c r="BV38" s="403"/>
      <c r="BW38" s="403"/>
      <c r="BX38" s="403"/>
      <c r="BY38" s="403"/>
      <c r="BZ38" s="403"/>
      <c r="CA38" s="403"/>
    </row>
    <row r="39" spans="1:79" ht="13.5" customHeight="1">
      <c r="A39" s="403"/>
      <c r="B39" s="1247"/>
      <c r="C39" s="1264" t="s">
        <v>190</v>
      </c>
      <c r="D39" s="1270" t="e">
        <f t="shared" si="4"/>
        <v>#N/A</v>
      </c>
      <c r="E39" s="1611">
        <f t="shared" si="3"/>
        <v>51.863761904761908</v>
      </c>
      <c r="F39" s="1756"/>
      <c r="G39" s="1756"/>
      <c r="H39" s="1757" t="e">
        <f t="shared" ca="1" si="5"/>
        <v>#DIV/0!</v>
      </c>
      <c r="I39" s="715"/>
      <c r="J39" s="1718"/>
      <c r="K39" s="1273"/>
      <c r="L39" s="1274" t="s">
        <v>301</v>
      </c>
      <c r="M39" s="1537">
        <v>29</v>
      </c>
      <c r="N39" s="1265">
        <v>187</v>
      </c>
      <c r="O39" s="1302">
        <v>27</v>
      </c>
      <c r="P39" s="1265">
        <v>112</v>
      </c>
      <c r="Q39" s="1265">
        <v>2</v>
      </c>
      <c r="R39" s="1265">
        <v>18</v>
      </c>
      <c r="S39" s="1265">
        <v>20</v>
      </c>
      <c r="T39" s="1265">
        <v>9</v>
      </c>
      <c r="U39" s="1265">
        <v>7</v>
      </c>
      <c r="V39" s="1265">
        <v>0</v>
      </c>
      <c r="W39" s="1265">
        <v>33</v>
      </c>
      <c r="X39" s="1265">
        <v>13</v>
      </c>
      <c r="Y39" s="1265">
        <v>9</v>
      </c>
      <c r="Z39" s="1265">
        <v>1</v>
      </c>
      <c r="AA39" s="1265">
        <v>34</v>
      </c>
      <c r="AB39" s="1265">
        <v>9</v>
      </c>
      <c r="AC39" s="1275">
        <v>2</v>
      </c>
      <c r="AD39" s="1275">
        <v>4</v>
      </c>
      <c r="AE39" s="1275">
        <v>42</v>
      </c>
      <c r="AF39" s="1275">
        <v>9</v>
      </c>
      <c r="AG39" s="1275">
        <v>21</v>
      </c>
      <c r="AH39" s="1275">
        <v>8</v>
      </c>
      <c r="AI39" s="1538">
        <v>19</v>
      </c>
      <c r="AJ39" s="493">
        <v>8.6</v>
      </c>
      <c r="AK39" s="493">
        <v>0.3</v>
      </c>
      <c r="AL39" s="1322">
        <v>119</v>
      </c>
      <c r="AM39" s="1339">
        <v>75.5</v>
      </c>
      <c r="AN39" s="1355">
        <v>19.29</v>
      </c>
      <c r="AO39" s="1389">
        <v>5</v>
      </c>
      <c r="AP39" s="1389">
        <v>77</v>
      </c>
      <c r="AQ39" s="1389">
        <v>98.285714285714278</v>
      </c>
      <c r="AR39" s="1389">
        <v>117</v>
      </c>
      <c r="AS39" s="1389">
        <v>1.4285714285714284</v>
      </c>
      <c r="AT39" s="1389">
        <v>5.8333333333333339</v>
      </c>
      <c r="AU39" s="1345" t="e">
        <f>フェロモントラップ野帳!$G$215</f>
        <v>#N/A</v>
      </c>
      <c r="AV39" s="1273"/>
      <c r="AW39" s="1274" t="s">
        <v>301</v>
      </c>
      <c r="AX39" s="403"/>
      <c r="AY39" s="1248"/>
      <c r="AZ39" s="403"/>
      <c r="BA39" s="403"/>
      <c r="BB39" s="403"/>
      <c r="BC39" s="403"/>
      <c r="BD39" s="403"/>
      <c r="BE39" s="403"/>
      <c r="BF39" s="403"/>
      <c r="BG39" s="403"/>
      <c r="BH39" s="403"/>
      <c r="BI39" s="403"/>
      <c r="BJ39" s="403"/>
      <c r="BK39" s="403"/>
      <c r="BL39" s="403"/>
      <c r="BM39" s="403"/>
      <c r="BN39" s="403"/>
      <c r="BO39" s="403"/>
      <c r="BP39" s="403"/>
      <c r="BQ39" s="403"/>
      <c r="BR39" s="403"/>
      <c r="BS39" s="403"/>
      <c r="BT39" s="403"/>
      <c r="BU39" s="403"/>
      <c r="BV39" s="403"/>
      <c r="BW39" s="403"/>
      <c r="BX39" s="403"/>
      <c r="BY39" s="403"/>
      <c r="BZ39" s="403"/>
      <c r="CA39" s="403"/>
    </row>
    <row r="40" spans="1:79" ht="13.5" customHeight="1">
      <c r="A40" s="403"/>
      <c r="B40" s="1247" t="s">
        <v>201</v>
      </c>
      <c r="C40" s="1264" t="s">
        <v>192</v>
      </c>
      <c r="D40" s="1270" t="e">
        <f t="shared" si="4"/>
        <v>#N/A</v>
      </c>
      <c r="E40" s="1611">
        <f t="shared" si="3"/>
        <v>7.2023333333333328</v>
      </c>
      <c r="F40" s="1756"/>
      <c r="G40" s="1756"/>
      <c r="H40" s="1757" t="e">
        <f t="shared" ca="1" si="5"/>
        <v>#DIV/0!</v>
      </c>
      <c r="I40" s="715"/>
      <c r="J40" s="1718"/>
      <c r="K40" s="1273" t="s">
        <v>290</v>
      </c>
      <c r="L40" s="1274" t="s">
        <v>302</v>
      </c>
      <c r="M40" s="1537">
        <v>15</v>
      </c>
      <c r="N40" s="1265">
        <v>36</v>
      </c>
      <c r="O40" s="1302">
        <v>11</v>
      </c>
      <c r="P40" s="1265">
        <v>91</v>
      </c>
      <c r="Q40" s="1265">
        <v>12</v>
      </c>
      <c r="R40" s="1265">
        <v>8</v>
      </c>
      <c r="S40" s="1265">
        <v>20</v>
      </c>
      <c r="T40" s="1265">
        <v>26</v>
      </c>
      <c r="U40" s="1265">
        <v>0</v>
      </c>
      <c r="V40" s="1265">
        <v>3</v>
      </c>
      <c r="W40" s="1265">
        <v>13</v>
      </c>
      <c r="X40" s="1265">
        <v>5</v>
      </c>
      <c r="Y40" s="1265">
        <v>2</v>
      </c>
      <c r="Z40" s="1265">
        <v>2</v>
      </c>
      <c r="AA40" s="1265">
        <v>1</v>
      </c>
      <c r="AB40" s="1265">
        <v>11</v>
      </c>
      <c r="AC40" s="1275">
        <v>2</v>
      </c>
      <c r="AD40" s="1275">
        <v>2</v>
      </c>
      <c r="AE40" s="1275">
        <v>50</v>
      </c>
      <c r="AF40" s="1275">
        <v>7</v>
      </c>
      <c r="AG40" s="1275">
        <v>37</v>
      </c>
      <c r="AH40" s="1275">
        <v>16</v>
      </c>
      <c r="AI40" s="1538">
        <v>0</v>
      </c>
      <c r="AJ40" s="493">
        <v>0.7</v>
      </c>
      <c r="AK40" s="493">
        <v>1.7</v>
      </c>
      <c r="AL40" s="1322">
        <v>1.7</v>
      </c>
      <c r="AM40" s="1339">
        <v>23</v>
      </c>
      <c r="AN40" s="1355">
        <v>9.7100000000000009</v>
      </c>
      <c r="AO40" s="1389">
        <v>0.83</v>
      </c>
      <c r="AP40" s="1389">
        <v>18</v>
      </c>
      <c r="AQ40" s="1389">
        <v>7</v>
      </c>
      <c r="AR40" s="1389">
        <v>6.25</v>
      </c>
      <c r="AS40" s="1389">
        <v>0</v>
      </c>
      <c r="AT40" s="1389">
        <v>3.833333333333333</v>
      </c>
      <c r="AU40" s="1345" t="e">
        <f>フェロモントラップ野帳!$G$220</f>
        <v>#N/A</v>
      </c>
      <c r="AV40" s="1273" t="s">
        <v>290</v>
      </c>
      <c r="AW40" s="1274" t="s">
        <v>302</v>
      </c>
      <c r="AX40" s="1243"/>
      <c r="AY40" s="1248"/>
      <c r="AZ40" s="1243"/>
      <c r="BA40" s="403"/>
      <c r="BB40" s="403"/>
      <c r="BC40" s="403"/>
      <c r="BD40" s="403"/>
      <c r="BE40" s="403"/>
      <c r="BF40" s="403"/>
      <c r="BG40" s="403"/>
      <c r="BH40" s="403"/>
      <c r="BI40" s="403"/>
      <c r="BJ40" s="403"/>
      <c r="BK40" s="403"/>
      <c r="BL40" s="403"/>
      <c r="BM40" s="403"/>
      <c r="BN40" s="403"/>
      <c r="BO40" s="403"/>
      <c r="BP40" s="403"/>
      <c r="BQ40" s="403"/>
      <c r="BR40" s="403"/>
      <c r="BS40" s="403"/>
      <c r="BT40" s="403"/>
      <c r="BU40" s="403"/>
      <c r="BV40" s="403"/>
      <c r="BW40" s="403"/>
      <c r="BX40" s="403"/>
      <c r="BY40" s="403"/>
      <c r="BZ40" s="403"/>
      <c r="CA40" s="403"/>
    </row>
    <row r="41" spans="1:79" ht="13.5" customHeight="1">
      <c r="A41" s="403"/>
      <c r="B41" s="1247"/>
      <c r="C41" s="1264" t="s">
        <v>193</v>
      </c>
      <c r="D41" s="1270" t="e">
        <f t="shared" si="4"/>
        <v>#N/A</v>
      </c>
      <c r="E41" s="1611">
        <f t="shared" si="3"/>
        <v>4.2960000000000003</v>
      </c>
      <c r="F41" s="1756"/>
      <c r="G41" s="1756"/>
      <c r="H41" s="1757" t="e">
        <f t="shared" ca="1" si="5"/>
        <v>#DIV/0!</v>
      </c>
      <c r="I41" s="715"/>
      <c r="J41" s="1718"/>
      <c r="K41" s="1273"/>
      <c r="L41" s="1274" t="s">
        <v>303</v>
      </c>
      <c r="M41" s="1537">
        <v>3</v>
      </c>
      <c r="N41" s="1265">
        <v>20</v>
      </c>
      <c r="O41" s="1302">
        <v>17</v>
      </c>
      <c r="P41" s="1265">
        <v>44</v>
      </c>
      <c r="Q41" s="1265">
        <v>0</v>
      </c>
      <c r="R41" s="1265">
        <v>5</v>
      </c>
      <c r="S41" s="1265">
        <v>21</v>
      </c>
      <c r="T41" s="1265">
        <v>11</v>
      </c>
      <c r="U41" s="1265">
        <v>20</v>
      </c>
      <c r="V41" s="1265">
        <v>0</v>
      </c>
      <c r="W41" s="1265">
        <v>3</v>
      </c>
      <c r="X41" s="1265">
        <v>0</v>
      </c>
      <c r="Y41" s="1265">
        <v>4</v>
      </c>
      <c r="Z41" s="1265">
        <v>2</v>
      </c>
      <c r="AA41" s="1265">
        <v>2</v>
      </c>
      <c r="AB41" s="1265">
        <v>4</v>
      </c>
      <c r="AC41" s="1275">
        <v>2</v>
      </c>
      <c r="AD41" s="1275">
        <v>8</v>
      </c>
      <c r="AE41" s="1275">
        <v>6</v>
      </c>
      <c r="AF41" s="1275">
        <v>2</v>
      </c>
      <c r="AG41" s="1275">
        <v>2</v>
      </c>
      <c r="AH41" s="1275">
        <v>16</v>
      </c>
      <c r="AI41" s="1538">
        <v>1</v>
      </c>
      <c r="AJ41" s="493">
        <v>2.5</v>
      </c>
      <c r="AK41" s="493">
        <v>2.5</v>
      </c>
      <c r="AL41" s="1322">
        <v>1</v>
      </c>
      <c r="AM41" s="1339">
        <v>0</v>
      </c>
      <c r="AN41" s="1355">
        <v>5</v>
      </c>
      <c r="AO41" s="1389">
        <v>2.17</v>
      </c>
      <c r="AP41" s="1389">
        <v>9.2899999999999991</v>
      </c>
      <c r="AQ41" s="1389">
        <v>18.333333333333332</v>
      </c>
      <c r="AR41" s="1389">
        <v>3</v>
      </c>
      <c r="AS41" s="1389">
        <v>0</v>
      </c>
      <c r="AT41" s="1389">
        <v>1.6666666666666665</v>
      </c>
      <c r="AU41" s="1345" t="e">
        <f>フェロモントラップ野帳!$G$225</f>
        <v>#N/A</v>
      </c>
      <c r="AV41" s="1273"/>
      <c r="AW41" s="1274" t="s">
        <v>303</v>
      </c>
      <c r="AX41" s="403"/>
      <c r="AY41" s="1248"/>
      <c r="AZ41" s="403"/>
      <c r="BA41" s="403"/>
      <c r="BB41" s="403"/>
      <c r="BC41" s="403"/>
      <c r="BD41" s="403"/>
      <c r="BE41" s="403"/>
      <c r="BF41" s="403"/>
      <c r="BG41" s="403"/>
      <c r="BH41" s="403"/>
      <c r="BI41" s="403"/>
      <c r="BJ41" s="403"/>
      <c r="BK41" s="403"/>
      <c r="BL41" s="403"/>
      <c r="BM41" s="403"/>
      <c r="BN41" s="403"/>
      <c r="BO41" s="403"/>
      <c r="BP41" s="403"/>
      <c r="BQ41" s="403"/>
      <c r="BR41" s="403"/>
      <c r="BS41" s="403"/>
      <c r="BT41" s="403"/>
      <c r="BU41" s="403"/>
      <c r="BV41" s="403"/>
      <c r="BW41" s="403"/>
      <c r="BX41" s="403"/>
      <c r="BY41" s="403"/>
      <c r="BZ41" s="403"/>
      <c r="CA41" s="403"/>
    </row>
    <row r="42" spans="1:79" ht="13.5" customHeight="1">
      <c r="A42" s="403"/>
      <c r="B42" s="1247"/>
      <c r="C42" s="1264" t="s">
        <v>194</v>
      </c>
      <c r="D42" s="1270" t="e">
        <f t="shared" si="4"/>
        <v>#N/A</v>
      </c>
      <c r="E42" s="1611">
        <f t="shared" si="3"/>
        <v>29.364666666666665</v>
      </c>
      <c r="F42" s="1756"/>
      <c r="G42" s="1756"/>
      <c r="H42" s="1757" t="e">
        <f t="shared" ca="1" si="5"/>
        <v>#DIV/0!</v>
      </c>
      <c r="I42" s="715"/>
      <c r="J42" s="1718"/>
      <c r="K42" s="1273"/>
      <c r="L42" s="1274" t="s">
        <v>304</v>
      </c>
      <c r="M42" s="1537">
        <v>0.4</v>
      </c>
      <c r="N42" s="1265">
        <v>15</v>
      </c>
      <c r="O42" s="1302">
        <v>5</v>
      </c>
      <c r="P42" s="1265">
        <v>11</v>
      </c>
      <c r="Q42" s="1265">
        <v>17</v>
      </c>
      <c r="R42" s="1265">
        <v>1</v>
      </c>
      <c r="S42" s="1265">
        <v>13</v>
      </c>
      <c r="T42" s="1265">
        <v>27</v>
      </c>
      <c r="U42" s="1265">
        <v>7</v>
      </c>
      <c r="V42" s="1265">
        <v>0</v>
      </c>
      <c r="W42" s="1265">
        <v>1</v>
      </c>
      <c r="X42" s="1265">
        <v>1</v>
      </c>
      <c r="Y42" s="1265">
        <v>0</v>
      </c>
      <c r="Z42" s="1265">
        <v>5</v>
      </c>
      <c r="AA42" s="1265">
        <v>0</v>
      </c>
      <c r="AB42" s="1265">
        <v>2</v>
      </c>
      <c r="AC42" s="1275">
        <v>2</v>
      </c>
      <c r="AD42" s="1275">
        <v>14</v>
      </c>
      <c r="AE42" s="1275">
        <v>1</v>
      </c>
      <c r="AF42" s="1275">
        <v>9</v>
      </c>
      <c r="AG42" s="1275">
        <v>0</v>
      </c>
      <c r="AH42" s="1275">
        <v>6</v>
      </c>
      <c r="AI42" s="1538">
        <v>1</v>
      </c>
      <c r="AJ42" s="493">
        <v>3.95</v>
      </c>
      <c r="AK42" s="493">
        <v>9.5</v>
      </c>
      <c r="AL42" s="1322">
        <v>12</v>
      </c>
      <c r="AM42" s="1339">
        <v>1.6</v>
      </c>
      <c r="AN42" s="1355">
        <v>6.67</v>
      </c>
      <c r="AO42" s="1389">
        <v>16</v>
      </c>
      <c r="AP42" s="1389">
        <v>15.71</v>
      </c>
      <c r="AQ42" s="1389">
        <v>228.66666666666666</v>
      </c>
      <c r="AR42" s="1389">
        <v>0</v>
      </c>
      <c r="AS42" s="1389">
        <v>1</v>
      </c>
      <c r="AT42" s="1389">
        <v>2.5</v>
      </c>
      <c r="AU42" s="1345" t="e">
        <f>フェロモントラップ野帳!$G$230</f>
        <v>#N/A</v>
      </c>
      <c r="AV42" s="1273"/>
      <c r="AW42" s="1274" t="s">
        <v>304</v>
      </c>
      <c r="AX42" s="403"/>
      <c r="AY42" s="1248"/>
      <c r="AZ42" s="403"/>
      <c r="BA42" s="403"/>
      <c r="BB42" s="403"/>
      <c r="BC42" s="403"/>
      <c r="BD42" s="403"/>
      <c r="BE42" s="403"/>
      <c r="BF42" s="403"/>
      <c r="BG42" s="403"/>
      <c r="BH42" s="403"/>
      <c r="BI42" s="403"/>
      <c r="BJ42" s="403"/>
      <c r="BK42" s="403"/>
      <c r="BL42" s="403"/>
      <c r="BM42" s="403"/>
      <c r="BN42" s="403"/>
      <c r="BO42" s="403"/>
      <c r="BP42" s="403"/>
      <c r="BQ42" s="403"/>
      <c r="BR42" s="403"/>
      <c r="BS42" s="403"/>
      <c r="BT42" s="403"/>
      <c r="BU42" s="403"/>
      <c r="BV42" s="403"/>
      <c r="BW42" s="403"/>
      <c r="BX42" s="403"/>
      <c r="BY42" s="403"/>
      <c r="BZ42" s="403"/>
      <c r="CA42" s="403"/>
    </row>
    <row r="43" spans="1:79" ht="13.5" customHeight="1" thickBot="1">
      <c r="A43" s="403"/>
      <c r="B43" s="1247"/>
      <c r="C43" s="1364" t="s">
        <v>195</v>
      </c>
      <c r="D43" s="1522" t="e">
        <f t="shared" si="4"/>
        <v>#N/A</v>
      </c>
      <c r="E43" s="1612">
        <f t="shared" si="3"/>
        <v>85.449333333333328</v>
      </c>
      <c r="F43" s="1758"/>
      <c r="G43" s="1758"/>
      <c r="H43" s="1759" t="e">
        <f t="shared" ca="1" si="5"/>
        <v>#DIV/0!</v>
      </c>
      <c r="I43" s="717"/>
      <c r="J43" s="614"/>
      <c r="K43" s="1273"/>
      <c r="L43" s="1280" t="s">
        <v>305</v>
      </c>
      <c r="M43" s="1540">
        <v>0</v>
      </c>
      <c r="N43" s="1268">
        <v>3</v>
      </c>
      <c r="O43" s="1303">
        <v>0</v>
      </c>
      <c r="P43" s="1268">
        <v>7</v>
      </c>
      <c r="Q43" s="1268">
        <v>9</v>
      </c>
      <c r="R43" s="1268">
        <v>11</v>
      </c>
      <c r="S43" s="1268">
        <v>11</v>
      </c>
      <c r="T43" s="1268">
        <v>1</v>
      </c>
      <c r="U43" s="1268">
        <v>4</v>
      </c>
      <c r="V43" s="1268">
        <v>0</v>
      </c>
      <c r="W43" s="1268">
        <v>1</v>
      </c>
      <c r="X43" s="1268">
        <v>4</v>
      </c>
      <c r="Y43" s="1268">
        <v>3</v>
      </c>
      <c r="Z43" s="1268">
        <v>31</v>
      </c>
      <c r="AA43" s="1268">
        <v>5</v>
      </c>
      <c r="AB43" s="1268">
        <v>0</v>
      </c>
      <c r="AC43" s="1281">
        <v>2</v>
      </c>
      <c r="AD43" s="1281">
        <v>7</v>
      </c>
      <c r="AE43" s="1281">
        <v>11</v>
      </c>
      <c r="AF43" s="1281">
        <v>1</v>
      </c>
      <c r="AG43" s="1281">
        <v>0</v>
      </c>
      <c r="AH43" s="1281">
        <v>0</v>
      </c>
      <c r="AI43" s="1541">
        <v>13</v>
      </c>
      <c r="AJ43" s="511">
        <v>4.2</v>
      </c>
      <c r="AK43" s="511">
        <v>40</v>
      </c>
      <c r="AL43" s="1329">
        <v>10.4</v>
      </c>
      <c r="AM43" s="1340">
        <v>4.5999999999999996</v>
      </c>
      <c r="AN43" s="1356">
        <v>37.159999999999997</v>
      </c>
      <c r="AO43" s="1390">
        <v>42</v>
      </c>
      <c r="AP43" s="1390">
        <v>91</v>
      </c>
      <c r="AQ43" s="1390">
        <v>500</v>
      </c>
      <c r="AR43" s="1390">
        <v>116</v>
      </c>
      <c r="AS43" s="1390">
        <v>3.333333333333333</v>
      </c>
      <c r="AT43" s="1390">
        <v>10</v>
      </c>
      <c r="AU43" s="1346" t="e">
        <f>フェロモントラップ野帳!$G$236</f>
        <v>#N/A</v>
      </c>
      <c r="AV43" s="1273"/>
      <c r="AW43" s="1280" t="s">
        <v>305</v>
      </c>
      <c r="AX43" s="403"/>
      <c r="AY43" s="1248"/>
      <c r="AZ43" s="403"/>
      <c r="BA43" s="403"/>
      <c r="BB43" s="403"/>
      <c r="BC43" s="403"/>
      <c r="BD43" s="403"/>
      <c r="BE43" s="403"/>
      <c r="BF43" s="403"/>
      <c r="BG43" s="403"/>
      <c r="BH43" s="403"/>
      <c r="BI43" s="403"/>
      <c r="BJ43" s="403"/>
      <c r="BK43" s="403"/>
      <c r="BL43" s="403"/>
      <c r="BM43" s="403"/>
      <c r="BN43" s="403"/>
      <c r="BO43" s="403"/>
      <c r="BP43" s="403"/>
      <c r="BQ43" s="403"/>
      <c r="BR43" s="403"/>
      <c r="BS43" s="403"/>
      <c r="BT43" s="403"/>
      <c r="BU43" s="403"/>
      <c r="BV43" s="403"/>
      <c r="BW43" s="403"/>
      <c r="BX43" s="403"/>
      <c r="BY43" s="403"/>
      <c r="BZ43" s="403"/>
      <c r="CA43" s="403"/>
    </row>
    <row r="44" spans="1:79" ht="13.5" customHeight="1">
      <c r="A44" s="403"/>
      <c r="B44" s="1246"/>
      <c r="C44" s="1286" t="s">
        <v>189</v>
      </c>
      <c r="D44" s="1323" t="e">
        <f t="shared" si="4"/>
        <v>#N/A</v>
      </c>
      <c r="E44" s="1606">
        <f t="shared" si="3"/>
        <v>90.18542857142856</v>
      </c>
      <c r="F44" s="1760"/>
      <c r="G44" s="1760"/>
      <c r="H44" s="1761" t="e">
        <f t="shared" ca="1" si="5"/>
        <v>#DIV/0!</v>
      </c>
      <c r="I44" s="715"/>
      <c r="J44" s="614"/>
      <c r="K44" s="1253"/>
      <c r="L44" s="1271" t="s">
        <v>300</v>
      </c>
      <c r="M44" s="1542">
        <v>2</v>
      </c>
      <c r="N44" s="1282">
        <v>33</v>
      </c>
      <c r="O44" s="1305">
        <v>5</v>
      </c>
      <c r="P44" s="1282">
        <v>4</v>
      </c>
      <c r="Q44" s="1282">
        <v>9</v>
      </c>
      <c r="R44" s="1282">
        <v>20</v>
      </c>
      <c r="S44" s="1282">
        <v>17</v>
      </c>
      <c r="T44" s="1282">
        <v>0</v>
      </c>
      <c r="U44" s="1282">
        <v>0</v>
      </c>
      <c r="V44" s="1282">
        <v>0</v>
      </c>
      <c r="W44" s="1282">
        <v>3</v>
      </c>
      <c r="X44" s="1282">
        <v>1</v>
      </c>
      <c r="Y44" s="1282">
        <v>17</v>
      </c>
      <c r="Z44" s="1282">
        <v>50</v>
      </c>
      <c r="AA44" s="1282">
        <v>25</v>
      </c>
      <c r="AB44" s="1282">
        <v>0</v>
      </c>
      <c r="AC44" s="1283">
        <v>3</v>
      </c>
      <c r="AD44" s="1283">
        <v>12</v>
      </c>
      <c r="AE44" s="1283">
        <v>15</v>
      </c>
      <c r="AF44" s="1283">
        <v>63</v>
      </c>
      <c r="AG44" s="1283">
        <v>0</v>
      </c>
      <c r="AH44" s="1283">
        <v>0</v>
      </c>
      <c r="AI44" s="1543">
        <v>52</v>
      </c>
      <c r="AJ44" s="519">
        <v>25</v>
      </c>
      <c r="AK44" s="519">
        <v>92</v>
      </c>
      <c r="AL44" s="1330">
        <v>7.8</v>
      </c>
      <c r="AM44" s="1338">
        <v>6</v>
      </c>
      <c r="AN44" s="1354">
        <v>64.17</v>
      </c>
      <c r="AO44" s="1388">
        <v>64.17</v>
      </c>
      <c r="AP44" s="1388">
        <v>58</v>
      </c>
      <c r="AQ44" s="1388">
        <v>391</v>
      </c>
      <c r="AR44" s="1388">
        <v>199</v>
      </c>
      <c r="AS44" s="1388">
        <v>4</v>
      </c>
      <c r="AT44" s="1388">
        <v>15.714285714285714</v>
      </c>
      <c r="AU44" s="1344" t="e">
        <f>フェロモントラップ野帳!$G$250</f>
        <v>#N/A</v>
      </c>
      <c r="AV44" s="1253"/>
      <c r="AW44" s="1271" t="s">
        <v>300</v>
      </c>
      <c r="AX44" s="403"/>
      <c r="AY44" s="1248"/>
      <c r="AZ44" s="403"/>
      <c r="BA44" s="403"/>
      <c r="BB44" s="403"/>
      <c r="BC44" s="403"/>
      <c r="BD44" s="403"/>
      <c r="BE44" s="403"/>
      <c r="BF44" s="403"/>
      <c r="BG44" s="403"/>
      <c r="BH44" s="403"/>
      <c r="BI44" s="403"/>
      <c r="BJ44" s="403"/>
      <c r="BK44" s="403"/>
      <c r="BL44" s="403"/>
      <c r="BM44" s="403"/>
      <c r="BN44" s="403"/>
      <c r="BO44" s="403"/>
      <c r="BP44" s="403"/>
      <c r="BQ44" s="403"/>
      <c r="BR44" s="403"/>
      <c r="BS44" s="403"/>
      <c r="BT44" s="403"/>
      <c r="BU44" s="403"/>
      <c r="BV44" s="403"/>
      <c r="BW44" s="403"/>
      <c r="BX44" s="403"/>
      <c r="BY44" s="403"/>
      <c r="BZ44" s="403"/>
      <c r="CA44" s="403"/>
    </row>
    <row r="45" spans="1:79" ht="13.5" customHeight="1">
      <c r="A45" s="403"/>
      <c r="B45" s="1247"/>
      <c r="C45" s="1264" t="s">
        <v>190</v>
      </c>
      <c r="D45" s="1270" t="e">
        <f t="shared" si="4"/>
        <v>#N/A</v>
      </c>
      <c r="E45" s="1611">
        <f t="shared" si="3"/>
        <v>97.751571428571438</v>
      </c>
      <c r="F45" s="1756"/>
      <c r="G45" s="1756"/>
      <c r="H45" s="1757" t="e">
        <f t="shared" ca="1" si="5"/>
        <v>#DIV/0!</v>
      </c>
      <c r="I45" s="715"/>
      <c r="J45" s="614"/>
      <c r="K45" s="1273"/>
      <c r="L45" s="1274" t="s">
        <v>301</v>
      </c>
      <c r="M45" s="1537">
        <v>16</v>
      </c>
      <c r="N45" s="1265">
        <v>13</v>
      </c>
      <c r="O45" s="1302">
        <v>21</v>
      </c>
      <c r="P45" s="1265">
        <v>5</v>
      </c>
      <c r="Q45" s="1265">
        <v>10</v>
      </c>
      <c r="R45" s="1265">
        <v>24</v>
      </c>
      <c r="S45" s="1265">
        <v>49</v>
      </c>
      <c r="T45" s="1265">
        <v>0</v>
      </c>
      <c r="U45" s="1265">
        <v>2</v>
      </c>
      <c r="V45" s="1265">
        <v>0</v>
      </c>
      <c r="W45" s="1265">
        <v>31</v>
      </c>
      <c r="X45" s="1265">
        <v>0</v>
      </c>
      <c r="Y45" s="1265">
        <v>39</v>
      </c>
      <c r="Z45" s="1265">
        <v>16</v>
      </c>
      <c r="AA45" s="1265">
        <v>5</v>
      </c>
      <c r="AB45" s="1265">
        <v>28</v>
      </c>
      <c r="AC45" s="1275">
        <v>3</v>
      </c>
      <c r="AD45" s="1275">
        <v>28</v>
      </c>
      <c r="AE45" s="1275">
        <v>3</v>
      </c>
      <c r="AF45" s="1275">
        <v>36</v>
      </c>
      <c r="AG45" s="1275">
        <v>37</v>
      </c>
      <c r="AH45" s="1275">
        <v>5</v>
      </c>
      <c r="AI45" s="1538">
        <v>50</v>
      </c>
      <c r="AJ45" s="493">
        <v>27</v>
      </c>
      <c r="AK45" s="493">
        <v>78.599999999999994</v>
      </c>
      <c r="AL45" s="1322">
        <v>30.8</v>
      </c>
      <c r="AM45" s="1339">
        <v>9</v>
      </c>
      <c r="AN45" s="1355">
        <v>156</v>
      </c>
      <c r="AO45" s="1389">
        <v>39.83</v>
      </c>
      <c r="AP45" s="1389">
        <v>38</v>
      </c>
      <c r="AQ45" s="1389">
        <v>440</v>
      </c>
      <c r="AR45" s="1389">
        <v>147</v>
      </c>
      <c r="AS45" s="1389">
        <v>3</v>
      </c>
      <c r="AT45" s="1389">
        <v>35.285714285714285</v>
      </c>
      <c r="AU45" s="1345" t="e">
        <f>フェロモントラップ野帳!$G$255</f>
        <v>#N/A</v>
      </c>
      <c r="AV45" s="1273"/>
      <c r="AW45" s="1274" t="s">
        <v>301</v>
      </c>
      <c r="AX45" s="403"/>
      <c r="AY45" s="1248"/>
      <c r="AZ45" s="403"/>
      <c r="BA45" s="403"/>
      <c r="BB45" s="403"/>
      <c r="BC45" s="403"/>
      <c r="BD45" s="403"/>
      <c r="BE45" s="403"/>
      <c r="BF45" s="403"/>
      <c r="BG45" s="403"/>
      <c r="BH45" s="403"/>
      <c r="BI45" s="403"/>
      <c r="BJ45" s="403"/>
      <c r="BK45" s="403"/>
      <c r="BL45" s="403"/>
      <c r="BM45" s="403"/>
      <c r="BN45" s="403"/>
      <c r="BO45" s="403"/>
      <c r="BP45" s="403"/>
      <c r="BQ45" s="403"/>
      <c r="BR45" s="403"/>
      <c r="BS45" s="403"/>
      <c r="BT45" s="403"/>
      <c r="BU45" s="403"/>
      <c r="BV45" s="403"/>
      <c r="BW45" s="403"/>
      <c r="BX45" s="403"/>
      <c r="BY45" s="403"/>
      <c r="BZ45" s="403"/>
      <c r="CA45" s="403"/>
    </row>
    <row r="46" spans="1:79" ht="13.5" customHeight="1">
      <c r="A46" s="403"/>
      <c r="B46" s="1247" t="s">
        <v>202</v>
      </c>
      <c r="C46" s="1264" t="s">
        <v>192</v>
      </c>
      <c r="D46" s="1270" t="e">
        <f t="shared" si="4"/>
        <v>#N/A</v>
      </c>
      <c r="E46" s="1611">
        <f t="shared" si="3"/>
        <v>120.60666666666668</v>
      </c>
      <c r="F46" s="1756"/>
      <c r="G46" s="1756"/>
      <c r="H46" s="1757" t="e">
        <f t="shared" ca="1" si="5"/>
        <v>#DIV/0!</v>
      </c>
      <c r="I46" s="715"/>
      <c r="J46" s="614"/>
      <c r="K46" s="1273" t="s">
        <v>291</v>
      </c>
      <c r="L46" s="1274" t="s">
        <v>302</v>
      </c>
      <c r="M46" s="1537">
        <v>30</v>
      </c>
      <c r="N46" s="1265">
        <v>30</v>
      </c>
      <c r="O46" s="1302">
        <v>45</v>
      </c>
      <c r="P46" s="1265">
        <v>46</v>
      </c>
      <c r="Q46" s="1265">
        <v>34</v>
      </c>
      <c r="R46" s="1265">
        <v>95</v>
      </c>
      <c r="S46" s="1265">
        <v>162</v>
      </c>
      <c r="T46" s="1265">
        <v>16</v>
      </c>
      <c r="U46" s="1265">
        <v>0</v>
      </c>
      <c r="V46" s="1265">
        <v>2</v>
      </c>
      <c r="W46" s="1265">
        <v>82</v>
      </c>
      <c r="X46" s="1265">
        <v>12</v>
      </c>
      <c r="Y46" s="1265">
        <v>43</v>
      </c>
      <c r="Z46" s="1265">
        <v>2</v>
      </c>
      <c r="AA46" s="1265">
        <v>8</v>
      </c>
      <c r="AB46" s="1265">
        <v>64</v>
      </c>
      <c r="AC46" s="1275">
        <v>3</v>
      </c>
      <c r="AD46" s="1275">
        <v>65</v>
      </c>
      <c r="AE46" s="1275">
        <v>83</v>
      </c>
      <c r="AF46" s="1275">
        <v>3</v>
      </c>
      <c r="AG46" s="1275">
        <v>16</v>
      </c>
      <c r="AH46" s="1275">
        <v>7</v>
      </c>
      <c r="AI46" s="1538">
        <v>54</v>
      </c>
      <c r="AJ46" s="493">
        <v>91.4</v>
      </c>
      <c r="AK46" s="493">
        <v>82.4</v>
      </c>
      <c r="AL46" s="1322">
        <v>117.5</v>
      </c>
      <c r="AM46" s="1339">
        <v>36</v>
      </c>
      <c r="AN46" s="1355">
        <v>252.5</v>
      </c>
      <c r="AO46" s="1389">
        <v>47</v>
      </c>
      <c r="AP46" s="1389">
        <v>121</v>
      </c>
      <c r="AQ46" s="1389">
        <v>311</v>
      </c>
      <c r="AR46" s="1389">
        <v>222</v>
      </c>
      <c r="AS46" s="1389">
        <v>10</v>
      </c>
      <c r="AT46" s="1389">
        <v>6.6666666666666661</v>
      </c>
      <c r="AU46" s="1345" t="e">
        <f>フェロモントラップ野帳!$G$260</f>
        <v>#N/A</v>
      </c>
      <c r="AV46" s="1273" t="s">
        <v>291</v>
      </c>
      <c r="AW46" s="1274" t="s">
        <v>302</v>
      </c>
      <c r="AX46" s="403"/>
      <c r="AY46" s="1248"/>
      <c r="AZ46" s="403"/>
      <c r="BA46" s="403"/>
      <c r="BB46" s="403"/>
      <c r="BC46" s="403"/>
      <c r="BD46" s="403"/>
      <c r="BE46" s="403"/>
      <c r="BF46" s="403"/>
      <c r="BG46" s="403"/>
      <c r="BH46" s="403"/>
      <c r="BI46" s="403"/>
      <c r="BJ46" s="403"/>
      <c r="BK46" s="403"/>
      <c r="BL46" s="403"/>
      <c r="BM46" s="403"/>
      <c r="BN46" s="403"/>
      <c r="BO46" s="403"/>
      <c r="BP46" s="403"/>
      <c r="BQ46" s="403"/>
      <c r="BR46" s="403"/>
      <c r="BS46" s="403"/>
      <c r="BT46" s="403"/>
      <c r="BU46" s="403"/>
      <c r="BV46" s="403"/>
      <c r="BW46" s="403"/>
      <c r="BX46" s="403"/>
      <c r="BY46" s="403"/>
      <c r="BZ46" s="403"/>
      <c r="CA46" s="403"/>
    </row>
    <row r="47" spans="1:79" ht="13.5" customHeight="1">
      <c r="A47" s="403"/>
      <c r="B47" s="1247"/>
      <c r="C47" s="1264" t="s">
        <v>193</v>
      </c>
      <c r="D47" s="1270" t="e">
        <f t="shared" si="4"/>
        <v>#N/A</v>
      </c>
      <c r="E47" s="1611">
        <f t="shared" si="3"/>
        <v>107.32233333333333</v>
      </c>
      <c r="F47" s="1756"/>
      <c r="G47" s="1756"/>
      <c r="H47" s="1757" t="e">
        <f t="shared" ca="1" si="5"/>
        <v>#DIV/0!</v>
      </c>
      <c r="I47" s="715"/>
      <c r="J47" s="614"/>
      <c r="K47" s="1273"/>
      <c r="L47" s="1274" t="s">
        <v>303</v>
      </c>
      <c r="M47" s="1537">
        <v>40</v>
      </c>
      <c r="N47" s="1265">
        <v>54</v>
      </c>
      <c r="O47" s="1302">
        <v>15</v>
      </c>
      <c r="P47" s="1265">
        <v>77</v>
      </c>
      <c r="Q47" s="1265">
        <v>9</v>
      </c>
      <c r="R47" s="1265">
        <v>26</v>
      </c>
      <c r="S47" s="1265">
        <v>123</v>
      </c>
      <c r="T47" s="1265">
        <v>54</v>
      </c>
      <c r="U47" s="1265">
        <v>28</v>
      </c>
      <c r="V47" s="1265">
        <v>1</v>
      </c>
      <c r="W47" s="1265">
        <v>110</v>
      </c>
      <c r="X47" s="1265">
        <v>62</v>
      </c>
      <c r="Y47" s="1265">
        <v>52</v>
      </c>
      <c r="Z47" s="1265">
        <v>5</v>
      </c>
      <c r="AA47" s="1265">
        <v>16</v>
      </c>
      <c r="AB47" s="1265">
        <v>162</v>
      </c>
      <c r="AC47" s="1275">
        <v>7</v>
      </c>
      <c r="AD47" s="1275">
        <v>69</v>
      </c>
      <c r="AE47" s="1275">
        <v>69</v>
      </c>
      <c r="AF47" s="1275">
        <v>49</v>
      </c>
      <c r="AG47" s="1275">
        <v>66</v>
      </c>
      <c r="AH47" s="1275">
        <v>9</v>
      </c>
      <c r="AI47" s="1538">
        <v>16</v>
      </c>
      <c r="AJ47" s="493">
        <v>97.3</v>
      </c>
      <c r="AK47" s="493">
        <v>60</v>
      </c>
      <c r="AL47" s="1322">
        <v>132.5</v>
      </c>
      <c r="AM47" s="1339">
        <v>105</v>
      </c>
      <c r="AN47" s="1355">
        <v>213.93</v>
      </c>
      <c r="AO47" s="1389">
        <v>47.86</v>
      </c>
      <c r="AP47" s="1389">
        <v>165</v>
      </c>
      <c r="AQ47" s="1389">
        <v>253</v>
      </c>
      <c r="AR47" s="1389">
        <v>85</v>
      </c>
      <c r="AS47" s="1389">
        <v>8</v>
      </c>
      <c r="AT47" s="1389">
        <v>2.9333333333333336</v>
      </c>
      <c r="AU47" s="1345" t="e">
        <f>フェロモントラップ野帳!$G$265</f>
        <v>#N/A</v>
      </c>
      <c r="AV47" s="1273"/>
      <c r="AW47" s="1274" t="s">
        <v>303</v>
      </c>
      <c r="AX47" s="403"/>
      <c r="AY47" s="1248"/>
      <c r="AZ47" s="403"/>
      <c r="BA47" s="403"/>
      <c r="BB47" s="403"/>
      <c r="BC47" s="403"/>
      <c r="BD47" s="403"/>
      <c r="BE47" s="403"/>
      <c r="BF47" s="403"/>
      <c r="BG47" s="403"/>
      <c r="BH47" s="403"/>
      <c r="BI47" s="403"/>
      <c r="BJ47" s="403"/>
      <c r="BK47" s="403"/>
      <c r="BL47" s="403"/>
      <c r="BM47" s="403"/>
      <c r="BN47" s="403"/>
      <c r="BO47" s="403"/>
      <c r="BP47" s="403"/>
      <c r="BQ47" s="403"/>
      <c r="BR47" s="403"/>
      <c r="BS47" s="403"/>
      <c r="BT47" s="403"/>
      <c r="BU47" s="403"/>
      <c r="BV47" s="403"/>
      <c r="BW47" s="403"/>
      <c r="BX47" s="403"/>
      <c r="BY47" s="403"/>
      <c r="BZ47" s="403"/>
      <c r="CA47" s="403"/>
    </row>
    <row r="48" spans="1:79" ht="13.5" customHeight="1">
      <c r="A48" s="403"/>
      <c r="B48" s="1247"/>
      <c r="C48" s="1264" t="s">
        <v>194</v>
      </c>
      <c r="D48" s="1270" t="e">
        <f t="shared" si="4"/>
        <v>#N/A</v>
      </c>
      <c r="E48" s="1611">
        <f t="shared" si="3"/>
        <v>90.433999999999997</v>
      </c>
      <c r="F48" s="1756"/>
      <c r="G48" s="1756"/>
      <c r="H48" s="1757" t="e">
        <f t="shared" ca="1" si="5"/>
        <v>#DIV/0!</v>
      </c>
      <c r="I48" s="715"/>
      <c r="J48" s="614"/>
      <c r="K48" s="1273"/>
      <c r="L48" s="1274" t="s">
        <v>304</v>
      </c>
      <c r="M48" s="1537">
        <v>9</v>
      </c>
      <c r="N48" s="1265">
        <v>82</v>
      </c>
      <c r="O48" s="1302">
        <v>18</v>
      </c>
      <c r="P48" s="1265">
        <v>146</v>
      </c>
      <c r="Q48" s="1265">
        <v>145</v>
      </c>
      <c r="R48" s="1265">
        <v>25</v>
      </c>
      <c r="S48" s="1265">
        <v>50</v>
      </c>
      <c r="T48" s="1265">
        <v>248</v>
      </c>
      <c r="U48" s="1265">
        <v>20</v>
      </c>
      <c r="V48" s="1265">
        <v>7</v>
      </c>
      <c r="W48" s="1265">
        <v>154</v>
      </c>
      <c r="X48" s="1265">
        <v>38</v>
      </c>
      <c r="Y48" s="1265">
        <v>73</v>
      </c>
      <c r="Z48" s="1265">
        <v>4</v>
      </c>
      <c r="AA48" s="1265">
        <v>6</v>
      </c>
      <c r="AB48" s="1265">
        <v>52</v>
      </c>
      <c r="AC48" s="1275">
        <v>2</v>
      </c>
      <c r="AD48" s="1275">
        <v>81</v>
      </c>
      <c r="AE48" s="1275">
        <v>1</v>
      </c>
      <c r="AF48" s="1275">
        <v>18</v>
      </c>
      <c r="AG48" s="1275">
        <v>37</v>
      </c>
      <c r="AH48" s="1275">
        <v>5</v>
      </c>
      <c r="AI48" s="1538">
        <v>3</v>
      </c>
      <c r="AJ48" s="493">
        <v>48.25</v>
      </c>
      <c r="AK48" s="493">
        <v>58</v>
      </c>
      <c r="AL48" s="1322">
        <v>154</v>
      </c>
      <c r="AM48" s="1339">
        <v>192</v>
      </c>
      <c r="AN48" s="1355">
        <v>138.57</v>
      </c>
      <c r="AO48" s="1389">
        <v>33.54</v>
      </c>
      <c r="AP48" s="1389">
        <v>60.83</v>
      </c>
      <c r="AQ48" s="1389">
        <v>136</v>
      </c>
      <c r="AR48" s="1389">
        <v>115</v>
      </c>
      <c r="AS48" s="1389">
        <v>15</v>
      </c>
      <c r="AT48" s="1389">
        <v>1.4</v>
      </c>
      <c r="AU48" s="1345" t="e">
        <f>フェロモントラップ野帳!$G$270</f>
        <v>#N/A</v>
      </c>
      <c r="AV48" s="1273"/>
      <c r="AW48" s="1274" t="s">
        <v>304</v>
      </c>
      <c r="AX48" s="403"/>
      <c r="AY48" s="1248"/>
      <c r="AZ48" s="403"/>
      <c r="BA48" s="403"/>
      <c r="BB48" s="403"/>
      <c r="BC48" s="403"/>
      <c r="BD48" s="403"/>
      <c r="BE48" s="403"/>
      <c r="BF48" s="403"/>
      <c r="BG48" s="403"/>
      <c r="BH48" s="403"/>
      <c r="BI48" s="403"/>
      <c r="BJ48" s="403"/>
      <c r="BK48" s="403"/>
      <c r="BL48" s="403"/>
      <c r="BM48" s="403"/>
      <c r="BN48" s="403"/>
      <c r="BO48" s="403"/>
      <c r="BP48" s="403"/>
      <c r="BQ48" s="403"/>
      <c r="BR48" s="403"/>
      <c r="BS48" s="403"/>
      <c r="BT48" s="403"/>
      <c r="BU48" s="403"/>
      <c r="BV48" s="403"/>
      <c r="BW48" s="403"/>
      <c r="BX48" s="403"/>
      <c r="BY48" s="403"/>
      <c r="BZ48" s="403"/>
      <c r="CA48" s="403"/>
    </row>
    <row r="49" spans="1:79" ht="13.5" customHeight="1" thickBot="1">
      <c r="A49" s="403"/>
      <c r="B49" s="1267"/>
      <c r="C49" s="1261" t="s">
        <v>195</v>
      </c>
      <c r="D49" s="1300" t="e">
        <f t="shared" si="4"/>
        <v>#N/A</v>
      </c>
      <c r="E49" s="1608">
        <f t="shared" si="3"/>
        <v>38.55652380952381</v>
      </c>
      <c r="F49" s="1762"/>
      <c r="G49" s="1762"/>
      <c r="H49" s="1763" t="e">
        <f t="shared" ca="1" si="5"/>
        <v>#DIV/0!</v>
      </c>
      <c r="I49" s="717"/>
      <c r="J49" s="614"/>
      <c r="K49" s="1279"/>
      <c r="L49" s="1280" t="s">
        <v>305</v>
      </c>
      <c r="M49" s="1545">
        <v>23</v>
      </c>
      <c r="N49" s="1268">
        <v>63</v>
      </c>
      <c r="O49" s="1308">
        <v>21</v>
      </c>
      <c r="P49" s="1287">
        <v>67</v>
      </c>
      <c r="Q49" s="1287">
        <v>38</v>
      </c>
      <c r="R49" s="1287">
        <v>16</v>
      </c>
      <c r="S49" s="1287">
        <v>19</v>
      </c>
      <c r="T49" s="1287">
        <v>117</v>
      </c>
      <c r="U49" s="1287">
        <v>78</v>
      </c>
      <c r="V49" s="1287">
        <v>4</v>
      </c>
      <c r="W49" s="1287">
        <v>251</v>
      </c>
      <c r="X49" s="1287">
        <v>63</v>
      </c>
      <c r="Y49" s="1287">
        <v>7</v>
      </c>
      <c r="Z49" s="1287">
        <v>6</v>
      </c>
      <c r="AA49" s="1287">
        <v>7</v>
      </c>
      <c r="AB49" s="1287">
        <v>48</v>
      </c>
      <c r="AC49" s="1278">
        <v>11</v>
      </c>
      <c r="AD49" s="1278">
        <v>26</v>
      </c>
      <c r="AE49" s="1278">
        <v>1</v>
      </c>
      <c r="AF49" s="1278">
        <v>5</v>
      </c>
      <c r="AG49" s="1278">
        <v>15</v>
      </c>
      <c r="AH49" s="1278">
        <v>5</v>
      </c>
      <c r="AI49" s="1539">
        <v>1</v>
      </c>
      <c r="AJ49" s="501">
        <v>36</v>
      </c>
      <c r="AK49" s="501">
        <v>4.3</v>
      </c>
      <c r="AL49" s="1328">
        <v>26.7</v>
      </c>
      <c r="AM49" s="1342">
        <v>141.69999999999999</v>
      </c>
      <c r="AN49" s="1358">
        <v>11</v>
      </c>
      <c r="AO49" s="1392">
        <v>46.6</v>
      </c>
      <c r="AP49" s="1392">
        <v>14.17</v>
      </c>
      <c r="AQ49" s="1392">
        <v>66.428571428571431</v>
      </c>
      <c r="AR49" s="1392">
        <v>56</v>
      </c>
      <c r="AS49" s="1392">
        <v>12</v>
      </c>
      <c r="AT49" s="1392">
        <v>6.6666666666666661</v>
      </c>
      <c r="AU49" s="1348" t="e">
        <f>フェロモントラップ野帳!$G$276</f>
        <v>#N/A</v>
      </c>
      <c r="AV49" s="1279"/>
      <c r="AW49" s="1280" t="s">
        <v>305</v>
      </c>
      <c r="AX49" s="403"/>
      <c r="AY49" s="1248"/>
      <c r="AZ49" s="403"/>
      <c r="BA49" s="403"/>
      <c r="BB49" s="403"/>
      <c r="BC49" s="403"/>
      <c r="BD49" s="403"/>
      <c r="BE49" s="403"/>
      <c r="BF49" s="403"/>
      <c r="BG49" s="403"/>
      <c r="BH49" s="403"/>
      <c r="BI49" s="403"/>
      <c r="BJ49" s="403"/>
      <c r="BK49" s="403"/>
      <c r="BL49" s="403"/>
      <c r="BM49" s="403"/>
      <c r="BN49" s="403"/>
      <c r="BO49" s="403"/>
      <c r="BP49" s="403"/>
      <c r="BQ49" s="403"/>
      <c r="BR49" s="403"/>
      <c r="BS49" s="403"/>
      <c r="BT49" s="403"/>
      <c r="BU49" s="403"/>
      <c r="BV49" s="403"/>
      <c r="BW49" s="403"/>
      <c r="BX49" s="403"/>
      <c r="BY49" s="403"/>
      <c r="BZ49" s="403"/>
      <c r="CA49" s="403"/>
    </row>
    <row r="50" spans="1:79" ht="13.5" customHeight="1">
      <c r="A50" s="403"/>
      <c r="B50" s="1247"/>
      <c r="C50" s="450" t="s">
        <v>189</v>
      </c>
      <c r="D50" s="1270" t="e">
        <f t="shared" si="4"/>
        <v>#N/A</v>
      </c>
      <c r="E50" s="779">
        <f t="shared" si="3"/>
        <v>99.950476190476195</v>
      </c>
      <c r="F50" s="1754"/>
      <c r="G50" s="1754"/>
      <c r="H50" s="1755" t="e">
        <f t="shared" ca="1" si="5"/>
        <v>#DIV/0!</v>
      </c>
      <c r="I50" s="715"/>
      <c r="J50" s="614"/>
      <c r="K50" s="1273"/>
      <c r="L50" s="1271" t="s">
        <v>300</v>
      </c>
      <c r="M50" s="1535">
        <v>18</v>
      </c>
      <c r="N50" s="1282">
        <v>43</v>
      </c>
      <c r="O50" s="1301">
        <v>85</v>
      </c>
      <c r="P50" s="1262">
        <v>21</v>
      </c>
      <c r="Q50" s="1262">
        <v>68</v>
      </c>
      <c r="R50" s="1262">
        <v>22</v>
      </c>
      <c r="S50" s="1262">
        <v>13</v>
      </c>
      <c r="T50" s="1262">
        <v>18</v>
      </c>
      <c r="U50" s="1262">
        <v>59</v>
      </c>
      <c r="V50" s="1262">
        <v>5</v>
      </c>
      <c r="W50" s="1262">
        <v>75</v>
      </c>
      <c r="X50" s="1262">
        <v>0</v>
      </c>
      <c r="Y50" s="1262">
        <v>3</v>
      </c>
      <c r="Z50" s="1262">
        <v>10</v>
      </c>
      <c r="AA50" s="1262">
        <v>4</v>
      </c>
      <c r="AB50" s="1262">
        <v>41</v>
      </c>
      <c r="AC50" s="1272">
        <v>18</v>
      </c>
      <c r="AD50" s="1272">
        <v>30</v>
      </c>
      <c r="AE50" s="1272">
        <v>7</v>
      </c>
      <c r="AF50" s="1272">
        <v>21</v>
      </c>
      <c r="AG50" s="1272">
        <v>25</v>
      </c>
      <c r="AH50" s="1272">
        <v>4</v>
      </c>
      <c r="AI50" s="1536">
        <v>0</v>
      </c>
      <c r="AJ50" s="486">
        <v>11</v>
      </c>
      <c r="AK50" s="486">
        <v>30.5</v>
      </c>
      <c r="AL50" s="1327">
        <v>28.3</v>
      </c>
      <c r="AM50" s="1343">
        <v>293.8</v>
      </c>
      <c r="AN50" s="1359">
        <v>5</v>
      </c>
      <c r="AO50" s="1393">
        <v>39</v>
      </c>
      <c r="AP50" s="1393">
        <v>14</v>
      </c>
      <c r="AQ50" s="1393">
        <v>280.57142857142856</v>
      </c>
      <c r="AR50" s="1393">
        <v>245</v>
      </c>
      <c r="AS50" s="1393">
        <v>51</v>
      </c>
      <c r="AT50" s="1393">
        <v>12.333333333333334</v>
      </c>
      <c r="AU50" s="1349" t="e">
        <f>フェロモントラップ野帳!$G$290</f>
        <v>#N/A</v>
      </c>
      <c r="AV50" s="1273"/>
      <c r="AW50" s="1271" t="s">
        <v>300</v>
      </c>
      <c r="AX50" s="403"/>
      <c r="AY50" s="1248"/>
      <c r="AZ50" s="403"/>
      <c r="BA50" s="403"/>
      <c r="BB50" s="403"/>
      <c r="BC50" s="403"/>
      <c r="BD50" s="403"/>
      <c r="BE50" s="403"/>
      <c r="BF50" s="403"/>
      <c r="BG50" s="403"/>
      <c r="BH50" s="403"/>
      <c r="BI50" s="403"/>
      <c r="BJ50" s="403"/>
      <c r="BK50" s="403"/>
      <c r="BL50" s="403"/>
      <c r="BM50" s="403"/>
      <c r="BN50" s="403"/>
      <c r="BO50" s="403"/>
      <c r="BP50" s="403"/>
      <c r="BQ50" s="403"/>
      <c r="BR50" s="403"/>
      <c r="BS50" s="403"/>
      <c r="BT50" s="403"/>
      <c r="BU50" s="403"/>
      <c r="BV50" s="403"/>
      <c r="BW50" s="403"/>
      <c r="BX50" s="403"/>
      <c r="BY50" s="403"/>
      <c r="BZ50" s="403"/>
      <c r="CA50" s="403"/>
    </row>
    <row r="51" spans="1:79" ht="13.5" customHeight="1">
      <c r="A51" s="403"/>
      <c r="B51" s="1247"/>
      <c r="C51" s="1264" t="s">
        <v>190</v>
      </c>
      <c r="D51" s="1270" t="e">
        <f t="shared" si="4"/>
        <v>#N/A</v>
      </c>
      <c r="E51" s="1611">
        <f t="shared" si="3"/>
        <v>138.16714285714286</v>
      </c>
      <c r="F51" s="1756"/>
      <c r="G51" s="1756"/>
      <c r="H51" s="1757" t="e">
        <f t="shared" ca="1" si="5"/>
        <v>#DIV/0!</v>
      </c>
      <c r="I51" s="715"/>
      <c r="J51" s="614"/>
      <c r="K51" s="1273"/>
      <c r="L51" s="1274" t="s">
        <v>301</v>
      </c>
      <c r="M51" s="1537">
        <v>11</v>
      </c>
      <c r="N51" s="1265">
        <v>26</v>
      </c>
      <c r="O51" s="1302">
        <v>31</v>
      </c>
      <c r="P51" s="1265">
        <v>9</v>
      </c>
      <c r="Q51" s="1265">
        <v>18</v>
      </c>
      <c r="R51" s="1265">
        <v>10</v>
      </c>
      <c r="S51" s="1265">
        <v>18</v>
      </c>
      <c r="T51" s="1265">
        <v>1</v>
      </c>
      <c r="U51" s="1265">
        <v>29</v>
      </c>
      <c r="V51" s="1265">
        <v>1</v>
      </c>
      <c r="W51" s="1265">
        <v>20</v>
      </c>
      <c r="X51" s="1265">
        <v>0</v>
      </c>
      <c r="Y51" s="1265">
        <v>1</v>
      </c>
      <c r="Z51" s="1265">
        <v>4</v>
      </c>
      <c r="AA51" s="1265">
        <v>4</v>
      </c>
      <c r="AB51" s="1265">
        <v>25</v>
      </c>
      <c r="AC51" s="1275">
        <v>17</v>
      </c>
      <c r="AD51" s="1275">
        <v>16</v>
      </c>
      <c r="AE51" s="1275">
        <v>6</v>
      </c>
      <c r="AF51" s="1275">
        <v>31</v>
      </c>
      <c r="AG51" s="1275">
        <v>12</v>
      </c>
      <c r="AH51" s="1275">
        <v>3</v>
      </c>
      <c r="AI51" s="1538">
        <v>0</v>
      </c>
      <c r="AJ51" s="493">
        <v>34.5</v>
      </c>
      <c r="AK51" s="493">
        <v>48.1</v>
      </c>
      <c r="AL51" s="1322">
        <v>40</v>
      </c>
      <c r="AM51" s="1339">
        <v>152</v>
      </c>
      <c r="AN51" s="1355">
        <v>21</v>
      </c>
      <c r="AO51" s="1389">
        <v>45</v>
      </c>
      <c r="AP51" s="1389">
        <v>33</v>
      </c>
      <c r="AQ51" s="1389">
        <v>567</v>
      </c>
      <c r="AR51" s="1389">
        <v>317</v>
      </c>
      <c r="AS51" s="1389">
        <v>40</v>
      </c>
      <c r="AT51" s="1389">
        <v>118.57142857142858</v>
      </c>
      <c r="AU51" s="1345" t="e">
        <f>フェロモントラップ野帳!$G$295</f>
        <v>#N/A</v>
      </c>
      <c r="AV51" s="1273"/>
      <c r="AW51" s="1274" t="s">
        <v>301</v>
      </c>
      <c r="AX51" s="403"/>
      <c r="AY51" s="1248"/>
      <c r="AZ51" s="403"/>
      <c r="BA51" s="403"/>
      <c r="BB51" s="403"/>
      <c r="BC51" s="403"/>
      <c r="BD51" s="403"/>
      <c r="BE51" s="403"/>
      <c r="BF51" s="403"/>
      <c r="BG51" s="403"/>
      <c r="BH51" s="403"/>
      <c r="BI51" s="403"/>
      <c r="BJ51" s="403"/>
      <c r="BK51" s="403"/>
      <c r="BL51" s="403"/>
      <c r="BM51" s="403"/>
      <c r="BN51" s="403"/>
      <c r="BO51" s="403"/>
      <c r="BP51" s="403"/>
      <c r="BQ51" s="403"/>
      <c r="BR51" s="403"/>
      <c r="BS51" s="403"/>
      <c r="BT51" s="403"/>
      <c r="BU51" s="403"/>
      <c r="BV51" s="403"/>
      <c r="BW51" s="403"/>
      <c r="BX51" s="403"/>
      <c r="BY51" s="403"/>
      <c r="BZ51" s="403"/>
      <c r="CA51" s="403"/>
    </row>
    <row r="52" spans="1:79" ht="13.5" customHeight="1">
      <c r="A52" s="403"/>
      <c r="B52" s="1247" t="s">
        <v>203</v>
      </c>
      <c r="C52" s="1264" t="s">
        <v>192</v>
      </c>
      <c r="D52" s="1270" t="e">
        <f t="shared" si="4"/>
        <v>#N/A</v>
      </c>
      <c r="E52" s="1611">
        <f t="shared" si="3"/>
        <v>157.87285714285713</v>
      </c>
      <c r="F52" s="1756"/>
      <c r="G52" s="1756"/>
      <c r="H52" s="1757" t="e">
        <f t="shared" ca="1" si="5"/>
        <v>#DIV/0!</v>
      </c>
      <c r="I52" s="715"/>
      <c r="J52" s="614"/>
      <c r="K52" s="1273" t="s">
        <v>292</v>
      </c>
      <c r="L52" s="1274" t="s">
        <v>302</v>
      </c>
      <c r="M52" s="1537">
        <v>4</v>
      </c>
      <c r="N52" s="1265">
        <v>0</v>
      </c>
      <c r="O52" s="1302">
        <v>18</v>
      </c>
      <c r="P52" s="1265">
        <v>3</v>
      </c>
      <c r="Q52" s="1265">
        <v>25</v>
      </c>
      <c r="R52" s="1265">
        <v>10</v>
      </c>
      <c r="S52" s="1265">
        <v>13</v>
      </c>
      <c r="T52" s="1265">
        <v>6</v>
      </c>
      <c r="U52" s="1265">
        <v>19</v>
      </c>
      <c r="V52" s="1265">
        <v>2</v>
      </c>
      <c r="W52" s="1265">
        <v>7</v>
      </c>
      <c r="X52" s="1265">
        <v>5</v>
      </c>
      <c r="Y52" s="1265">
        <v>3</v>
      </c>
      <c r="Z52" s="1265">
        <v>5</v>
      </c>
      <c r="AA52" s="1265">
        <v>7</v>
      </c>
      <c r="AB52" s="1265">
        <v>10</v>
      </c>
      <c r="AC52" s="1275">
        <v>1</v>
      </c>
      <c r="AD52" s="1275">
        <v>0</v>
      </c>
      <c r="AE52" s="1275">
        <v>30</v>
      </c>
      <c r="AF52" s="1275">
        <v>36</v>
      </c>
      <c r="AG52" s="1275">
        <v>0</v>
      </c>
      <c r="AH52" s="1275">
        <v>11</v>
      </c>
      <c r="AI52" s="1538">
        <v>0</v>
      </c>
      <c r="AJ52" s="493">
        <v>59.5</v>
      </c>
      <c r="AK52" s="493">
        <v>279.3</v>
      </c>
      <c r="AL52" s="1322">
        <v>18</v>
      </c>
      <c r="AM52" s="1339">
        <v>60</v>
      </c>
      <c r="AN52" s="1355">
        <v>60</v>
      </c>
      <c r="AO52" s="1389">
        <v>103</v>
      </c>
      <c r="AP52" s="1389">
        <v>45</v>
      </c>
      <c r="AQ52" s="1389">
        <v>586</v>
      </c>
      <c r="AR52" s="1389">
        <v>230</v>
      </c>
      <c r="AS52" s="1389">
        <v>72</v>
      </c>
      <c r="AT52" s="1389">
        <v>125.42857142857143</v>
      </c>
      <c r="AU52" s="1345" t="e">
        <f>フェロモントラップ野帳!$G$300</f>
        <v>#N/A</v>
      </c>
      <c r="AV52" s="1273" t="s">
        <v>292</v>
      </c>
      <c r="AW52" s="1274" t="s">
        <v>302</v>
      </c>
      <c r="AX52" s="1243"/>
      <c r="AY52" s="1248"/>
      <c r="AZ52" s="1243"/>
      <c r="BA52" s="403"/>
      <c r="BB52" s="403"/>
      <c r="BC52" s="403"/>
      <c r="BD52" s="403"/>
      <c r="BE52" s="403"/>
      <c r="BF52" s="403"/>
      <c r="BG52" s="403"/>
      <c r="BH52" s="403"/>
      <c r="BI52" s="403"/>
      <c r="BJ52" s="403"/>
      <c r="BK52" s="403"/>
      <c r="BL52" s="403"/>
      <c r="BM52" s="403"/>
      <c r="BN52" s="403"/>
      <c r="BO52" s="403"/>
      <c r="BP52" s="403"/>
      <c r="BQ52" s="403"/>
      <c r="BR52" s="403"/>
      <c r="BS52" s="403"/>
      <c r="BT52" s="403"/>
      <c r="BU52" s="403"/>
      <c r="BV52" s="403"/>
      <c r="BW52" s="403"/>
      <c r="BX52" s="403"/>
      <c r="BY52" s="403"/>
      <c r="BZ52" s="403"/>
      <c r="CA52" s="403"/>
    </row>
    <row r="53" spans="1:79" ht="13.5" customHeight="1">
      <c r="A53" s="403"/>
      <c r="B53" s="1247"/>
      <c r="C53" s="1264" t="s">
        <v>193</v>
      </c>
      <c r="D53" s="1270" t="e">
        <f t="shared" si="4"/>
        <v>#N/A</v>
      </c>
      <c r="E53" s="1611">
        <f t="shared" si="3"/>
        <v>196.37666666666667</v>
      </c>
      <c r="F53" s="1756"/>
      <c r="G53" s="1756"/>
      <c r="H53" s="1757" t="e">
        <f t="shared" ca="1" si="5"/>
        <v>#DIV/0!</v>
      </c>
      <c r="I53" s="715"/>
      <c r="J53" s="614"/>
      <c r="K53" s="1273"/>
      <c r="L53" s="1274" t="s">
        <v>303</v>
      </c>
      <c r="M53" s="1537">
        <v>0</v>
      </c>
      <c r="N53" s="1265">
        <v>0</v>
      </c>
      <c r="O53" s="1302">
        <v>10</v>
      </c>
      <c r="P53" s="1265">
        <v>2</v>
      </c>
      <c r="Q53" s="1265">
        <v>13</v>
      </c>
      <c r="R53" s="1265">
        <v>17</v>
      </c>
      <c r="S53" s="1265">
        <v>28</v>
      </c>
      <c r="T53" s="1265">
        <v>5</v>
      </c>
      <c r="U53" s="1265">
        <v>15</v>
      </c>
      <c r="V53" s="1265">
        <v>5</v>
      </c>
      <c r="W53" s="1265">
        <v>0</v>
      </c>
      <c r="X53" s="1265">
        <v>2</v>
      </c>
      <c r="Y53" s="1265">
        <v>6</v>
      </c>
      <c r="Z53" s="1265">
        <v>18</v>
      </c>
      <c r="AA53" s="1265">
        <v>13</v>
      </c>
      <c r="AB53" s="1265">
        <v>4</v>
      </c>
      <c r="AC53" s="1275">
        <v>3</v>
      </c>
      <c r="AD53" s="1275">
        <v>12</v>
      </c>
      <c r="AE53" s="1275">
        <v>8</v>
      </c>
      <c r="AF53" s="1275">
        <v>56</v>
      </c>
      <c r="AG53" s="1275">
        <v>11</v>
      </c>
      <c r="AH53" s="1275">
        <v>8</v>
      </c>
      <c r="AI53" s="1538">
        <v>42</v>
      </c>
      <c r="AJ53" s="493">
        <v>37</v>
      </c>
      <c r="AK53" s="493">
        <v>290.7</v>
      </c>
      <c r="AL53" s="1322">
        <v>6.4</v>
      </c>
      <c r="AM53" s="1339">
        <v>30</v>
      </c>
      <c r="AN53" s="1355">
        <v>62</v>
      </c>
      <c r="AO53" s="1389">
        <v>43</v>
      </c>
      <c r="AP53" s="1389">
        <v>38</v>
      </c>
      <c r="AQ53" s="1389">
        <v>506</v>
      </c>
      <c r="AR53" s="1389">
        <v>251</v>
      </c>
      <c r="AS53" s="1389">
        <v>584</v>
      </c>
      <c r="AT53" s="1389">
        <v>152.66666666666669</v>
      </c>
      <c r="AU53" s="1345" t="e">
        <f>フェロモントラップ野帳!$G$305</f>
        <v>#N/A</v>
      </c>
      <c r="AV53" s="1273"/>
      <c r="AW53" s="1274" t="s">
        <v>303</v>
      </c>
      <c r="AX53" s="403"/>
      <c r="AY53" s="1248"/>
      <c r="AZ53" s="403"/>
      <c r="BA53" s="403"/>
      <c r="BB53" s="403"/>
      <c r="BC53" s="403"/>
      <c r="BD53" s="403"/>
      <c r="BE53" s="403"/>
      <c r="BF53" s="403"/>
      <c r="BG53" s="403"/>
      <c r="BH53" s="403"/>
      <c r="BI53" s="403"/>
      <c r="BJ53" s="403"/>
      <c r="BK53" s="403"/>
      <c r="BL53" s="403"/>
      <c r="BM53" s="403"/>
      <c r="BN53" s="403"/>
      <c r="BO53" s="403"/>
      <c r="BP53" s="403"/>
      <c r="BQ53" s="403"/>
      <c r="BR53" s="403"/>
      <c r="BS53" s="403"/>
      <c r="BT53" s="403"/>
      <c r="BU53" s="403"/>
      <c r="BV53" s="403"/>
      <c r="BW53" s="403"/>
      <c r="BX53" s="403"/>
      <c r="BY53" s="403"/>
      <c r="BZ53" s="403"/>
      <c r="CA53" s="403"/>
    </row>
    <row r="54" spans="1:79" ht="13.5" customHeight="1">
      <c r="A54" s="403"/>
      <c r="B54" s="1247"/>
      <c r="C54" s="1264" t="s">
        <v>194</v>
      </c>
      <c r="D54" s="1270" t="e">
        <f t="shared" si="4"/>
        <v>#N/A</v>
      </c>
      <c r="E54" s="1611">
        <f t="shared" si="3"/>
        <v>137.77333333333334</v>
      </c>
      <c r="F54" s="1756"/>
      <c r="G54" s="1756"/>
      <c r="H54" s="1757" t="e">
        <f t="shared" ca="1" si="5"/>
        <v>#DIV/0!</v>
      </c>
      <c r="I54" s="715"/>
      <c r="J54" s="614"/>
      <c r="K54" s="1273"/>
      <c r="L54" s="1274" t="s">
        <v>304</v>
      </c>
      <c r="M54" s="1537">
        <v>2</v>
      </c>
      <c r="N54" s="1265">
        <v>0</v>
      </c>
      <c r="O54" s="1302">
        <v>7</v>
      </c>
      <c r="P54" s="1265">
        <v>2</v>
      </c>
      <c r="Q54" s="1265">
        <v>16</v>
      </c>
      <c r="R54" s="1265">
        <v>25</v>
      </c>
      <c r="S54" s="1265">
        <v>19</v>
      </c>
      <c r="T54" s="1265">
        <v>0</v>
      </c>
      <c r="U54" s="1265">
        <v>7</v>
      </c>
      <c r="V54" s="1265">
        <v>0</v>
      </c>
      <c r="W54" s="1265">
        <v>0</v>
      </c>
      <c r="X54" s="1265">
        <v>1</v>
      </c>
      <c r="Y54" s="1265">
        <v>8</v>
      </c>
      <c r="Z54" s="1265">
        <v>15</v>
      </c>
      <c r="AA54" s="1265">
        <v>4</v>
      </c>
      <c r="AB54" s="1265">
        <v>2</v>
      </c>
      <c r="AC54" s="1275">
        <v>3</v>
      </c>
      <c r="AD54" s="1275">
        <v>8</v>
      </c>
      <c r="AE54" s="1275">
        <v>10</v>
      </c>
      <c r="AF54" s="1275">
        <v>64</v>
      </c>
      <c r="AG54" s="1275">
        <v>4</v>
      </c>
      <c r="AH54" s="1275">
        <v>8</v>
      </c>
      <c r="AI54" s="1538">
        <v>43</v>
      </c>
      <c r="AJ54" s="493">
        <v>11.7</v>
      </c>
      <c r="AK54" s="493">
        <v>141</v>
      </c>
      <c r="AL54" s="1322">
        <v>4.9000000000000004</v>
      </c>
      <c r="AM54" s="1339">
        <v>33</v>
      </c>
      <c r="AN54" s="1355">
        <v>17</v>
      </c>
      <c r="AO54" s="1389">
        <v>114</v>
      </c>
      <c r="AP54" s="1389">
        <v>15</v>
      </c>
      <c r="AQ54" s="1389">
        <v>236</v>
      </c>
      <c r="AR54" s="1389">
        <v>289</v>
      </c>
      <c r="AS54" s="1389">
        <v>361</v>
      </c>
      <c r="AT54" s="1389">
        <v>166.83333333333334</v>
      </c>
      <c r="AU54" s="1345" t="e">
        <f>フェロモントラップ野帳!$G$310</f>
        <v>#N/A</v>
      </c>
      <c r="AV54" s="1273"/>
      <c r="AW54" s="1274" t="s">
        <v>304</v>
      </c>
      <c r="AX54" s="403"/>
      <c r="AY54" s="1248"/>
      <c r="AZ54" s="403"/>
      <c r="BA54" s="403"/>
      <c r="BB54" s="403"/>
      <c r="BC54" s="403"/>
      <c r="BD54" s="403"/>
      <c r="BE54" s="403"/>
      <c r="BF54" s="403"/>
      <c r="BG54" s="403"/>
      <c r="BH54" s="403"/>
      <c r="BI54" s="403"/>
      <c r="BJ54" s="403"/>
      <c r="BK54" s="403"/>
      <c r="BL54" s="403"/>
      <c r="BM54" s="403"/>
      <c r="BN54" s="403"/>
      <c r="BO54" s="403"/>
      <c r="BP54" s="403"/>
      <c r="BQ54" s="403"/>
      <c r="BR54" s="403"/>
      <c r="BS54" s="403"/>
      <c r="BT54" s="403"/>
      <c r="BU54" s="403"/>
      <c r="BV54" s="403"/>
      <c r="BW54" s="403"/>
      <c r="BX54" s="403"/>
      <c r="BY54" s="403"/>
      <c r="BZ54" s="403"/>
      <c r="CA54" s="403"/>
    </row>
    <row r="55" spans="1:79" ht="13.5" customHeight="1" thickBot="1">
      <c r="A55" s="403"/>
      <c r="B55" s="1247"/>
      <c r="C55" s="1364" t="s">
        <v>195</v>
      </c>
      <c r="D55" s="1522" t="e">
        <f t="shared" si="4"/>
        <v>#N/A</v>
      </c>
      <c r="E55" s="1612">
        <f t="shared" si="3"/>
        <v>156.72999999999999</v>
      </c>
      <c r="F55" s="1758"/>
      <c r="G55" s="1758"/>
      <c r="H55" s="1759" t="e">
        <f t="shared" ca="1" si="5"/>
        <v>#DIV/0!</v>
      </c>
      <c r="I55" s="717"/>
      <c r="J55" s="614"/>
      <c r="K55" s="1273"/>
      <c r="L55" s="1280" t="s">
        <v>305</v>
      </c>
      <c r="M55" s="1540">
        <v>0</v>
      </c>
      <c r="N55" s="1268">
        <v>0</v>
      </c>
      <c r="O55" s="1303">
        <v>8</v>
      </c>
      <c r="P55" s="1268">
        <v>0</v>
      </c>
      <c r="Q55" s="1268">
        <v>20</v>
      </c>
      <c r="R55" s="1268">
        <v>38</v>
      </c>
      <c r="S55" s="1268">
        <v>8</v>
      </c>
      <c r="T55" s="1268">
        <v>0</v>
      </c>
      <c r="U55" s="1268">
        <v>10</v>
      </c>
      <c r="V55" s="1268">
        <v>9</v>
      </c>
      <c r="W55" s="1268">
        <v>0</v>
      </c>
      <c r="X55" s="1268">
        <v>0</v>
      </c>
      <c r="Y55" s="1268">
        <v>4</v>
      </c>
      <c r="Z55" s="1268">
        <v>14</v>
      </c>
      <c r="AA55" s="1268">
        <v>68</v>
      </c>
      <c r="AB55" s="1268">
        <v>6</v>
      </c>
      <c r="AC55" s="1281">
        <v>3</v>
      </c>
      <c r="AD55" s="1281">
        <v>0</v>
      </c>
      <c r="AE55" s="1281">
        <v>10</v>
      </c>
      <c r="AF55" s="1281">
        <v>96</v>
      </c>
      <c r="AG55" s="1281">
        <v>14</v>
      </c>
      <c r="AH55" s="1281">
        <v>0</v>
      </c>
      <c r="AI55" s="1541">
        <v>73</v>
      </c>
      <c r="AJ55" s="511">
        <v>23.4</v>
      </c>
      <c r="AK55" s="511">
        <v>210</v>
      </c>
      <c r="AL55" s="1329">
        <v>0.8</v>
      </c>
      <c r="AM55" s="1340">
        <v>11</v>
      </c>
      <c r="AN55" s="1356">
        <v>10</v>
      </c>
      <c r="AO55" s="1390">
        <v>67.5</v>
      </c>
      <c r="AP55" s="1390">
        <v>36</v>
      </c>
      <c r="AQ55" s="1390">
        <v>196</v>
      </c>
      <c r="AR55" s="1390">
        <v>454</v>
      </c>
      <c r="AS55" s="1390">
        <v>495</v>
      </c>
      <c r="AT55" s="1390">
        <v>87</v>
      </c>
      <c r="AU55" s="1346" t="e">
        <f>フェロモントラップ野帳!$G$316</f>
        <v>#N/A</v>
      </c>
      <c r="AV55" s="1273"/>
      <c r="AW55" s="1280" t="s">
        <v>305</v>
      </c>
      <c r="AX55" s="403"/>
      <c r="AY55" s="1248"/>
      <c r="AZ55" s="403"/>
      <c r="BA55" s="403"/>
      <c r="BB55" s="403"/>
      <c r="BC55" s="403"/>
      <c r="BD55" s="403"/>
      <c r="BE55" s="403"/>
      <c r="BF55" s="403"/>
      <c r="BG55" s="403"/>
      <c r="BH55" s="403"/>
      <c r="BI55" s="403"/>
      <c r="BJ55" s="403"/>
      <c r="BK55" s="403"/>
      <c r="BL55" s="403"/>
      <c r="BM55" s="403"/>
      <c r="BN55" s="403"/>
      <c r="BO55" s="403"/>
      <c r="BP55" s="403"/>
      <c r="BQ55" s="403"/>
      <c r="BR55" s="403"/>
      <c r="BS55" s="403"/>
      <c r="BT55" s="403"/>
      <c r="BU55" s="403"/>
      <c r="BV55" s="403"/>
      <c r="BW55" s="403"/>
      <c r="BX55" s="403"/>
      <c r="BY55" s="403"/>
      <c r="BZ55" s="403"/>
      <c r="CA55" s="403"/>
    </row>
    <row r="56" spans="1:79">
      <c r="B56" s="1246"/>
      <c r="C56" s="1286" t="s">
        <v>189</v>
      </c>
      <c r="D56" s="1323" t="e">
        <f t="shared" si="4"/>
        <v>#N/A</v>
      </c>
      <c r="E56" s="1606">
        <f t="shared" si="3"/>
        <v>138.42708333333331</v>
      </c>
      <c r="F56" s="1760"/>
      <c r="G56" s="1760"/>
      <c r="H56" s="1761" t="e">
        <f t="shared" ca="1" si="5"/>
        <v>#DIV/0!</v>
      </c>
      <c r="I56" s="715"/>
      <c r="J56" s="614"/>
      <c r="K56" s="1253"/>
      <c r="L56" s="1271" t="s">
        <v>300</v>
      </c>
      <c r="M56" s="1542">
        <v>0</v>
      </c>
      <c r="N56" s="1282">
        <v>0</v>
      </c>
      <c r="O56" s="1305">
        <v>4</v>
      </c>
      <c r="P56" s="1282">
        <v>0</v>
      </c>
      <c r="Q56" s="1282">
        <v>12</v>
      </c>
      <c r="R56" s="1282">
        <v>17</v>
      </c>
      <c r="S56" s="1282">
        <v>7</v>
      </c>
      <c r="T56" s="1282">
        <v>0</v>
      </c>
      <c r="U56" s="1282">
        <v>5</v>
      </c>
      <c r="V56" s="1282">
        <v>1</v>
      </c>
      <c r="W56" s="1282"/>
      <c r="X56" s="1282">
        <v>15</v>
      </c>
      <c r="Y56" s="1282">
        <v>1</v>
      </c>
      <c r="Z56" s="1282">
        <v>10</v>
      </c>
      <c r="AA56" s="1282">
        <v>14</v>
      </c>
      <c r="AB56" s="1282">
        <v>3</v>
      </c>
      <c r="AC56" s="1283">
        <v>2</v>
      </c>
      <c r="AD56" s="1283">
        <v>0</v>
      </c>
      <c r="AE56" s="1283">
        <v>5</v>
      </c>
      <c r="AF56" s="1283">
        <v>141</v>
      </c>
      <c r="AG56" s="1283">
        <v>9</v>
      </c>
      <c r="AH56" s="1283">
        <v>8</v>
      </c>
      <c r="AI56" s="1543">
        <v>181</v>
      </c>
      <c r="AJ56" s="1272">
        <v>13.3</v>
      </c>
      <c r="AK56" s="486">
        <v>117.5</v>
      </c>
      <c r="AL56" s="1327"/>
      <c r="AM56" s="1343"/>
      <c r="AN56" s="1359">
        <v>3.75</v>
      </c>
      <c r="AO56" s="1393">
        <v>39.5</v>
      </c>
      <c r="AP56" s="1393">
        <v>35</v>
      </c>
      <c r="AQ56" s="1393">
        <v>144.16666666666666</v>
      </c>
      <c r="AR56" s="1393">
        <v>546</v>
      </c>
      <c r="AS56" s="1393">
        <v>137</v>
      </c>
      <c r="AT56" s="1393">
        <v>84.5</v>
      </c>
      <c r="AU56" s="1349" t="e">
        <f>フェロモントラップ野帳!$G$330</f>
        <v>#N/A</v>
      </c>
      <c r="AV56" s="1253"/>
      <c r="AW56" s="1271" t="s">
        <v>300</v>
      </c>
      <c r="AX56" s="403"/>
      <c r="AY56" s="1248"/>
      <c r="AZ56" s="403"/>
      <c r="BA56" s="403"/>
      <c r="BB56" s="403"/>
      <c r="BC56" s="403"/>
      <c r="BD56" s="403"/>
      <c r="BE56" s="403"/>
      <c r="BF56" s="403"/>
      <c r="BG56" s="403"/>
      <c r="BH56" s="403"/>
      <c r="BI56" s="403"/>
      <c r="BJ56" s="403"/>
      <c r="BK56" s="403"/>
      <c r="BL56" s="403"/>
      <c r="BM56" s="403"/>
      <c r="BN56" s="403"/>
      <c r="BO56" s="403"/>
      <c r="BP56" s="403"/>
      <c r="BQ56" s="403"/>
      <c r="BR56" s="403"/>
      <c r="BS56" s="403"/>
      <c r="BT56" s="403"/>
      <c r="BU56" s="403"/>
      <c r="BV56" s="403"/>
      <c r="BW56" s="403"/>
      <c r="BX56" s="403"/>
      <c r="BY56" s="403"/>
      <c r="BZ56" s="403"/>
      <c r="CA56" s="403"/>
    </row>
    <row r="57" spans="1:79">
      <c r="B57" s="1247"/>
      <c r="C57" s="1264" t="s">
        <v>190</v>
      </c>
      <c r="D57" s="1270" t="e">
        <f t="shared" si="4"/>
        <v>#N/A</v>
      </c>
      <c r="E57" s="1611">
        <f t="shared" si="3"/>
        <v>66.572916666666671</v>
      </c>
      <c r="F57" s="1756"/>
      <c r="G57" s="1756"/>
      <c r="H57" s="1757" t="e">
        <f t="shared" ca="1" si="5"/>
        <v>#DIV/0!</v>
      </c>
      <c r="I57" s="715"/>
      <c r="J57" s="614"/>
      <c r="K57" s="1273"/>
      <c r="L57" s="1274" t="s">
        <v>301</v>
      </c>
      <c r="M57" s="1537">
        <v>0</v>
      </c>
      <c r="N57" s="1265">
        <v>0</v>
      </c>
      <c r="O57" s="1302">
        <v>0</v>
      </c>
      <c r="P57" s="1265">
        <v>0</v>
      </c>
      <c r="Q57" s="1265">
        <v>9</v>
      </c>
      <c r="R57" s="1265">
        <v>12</v>
      </c>
      <c r="S57" s="1265">
        <v>5</v>
      </c>
      <c r="T57" s="1265">
        <v>0</v>
      </c>
      <c r="U57" s="1265">
        <v>6</v>
      </c>
      <c r="V57" s="1265">
        <v>1</v>
      </c>
      <c r="W57" s="1265"/>
      <c r="X57" s="1265">
        <v>2</v>
      </c>
      <c r="Y57" s="1265">
        <v>2</v>
      </c>
      <c r="Z57" s="1265">
        <v>6</v>
      </c>
      <c r="AA57" s="1265">
        <v>75</v>
      </c>
      <c r="AB57" s="1265">
        <v>2</v>
      </c>
      <c r="AC57" s="1275">
        <v>0</v>
      </c>
      <c r="AD57" s="1275">
        <v>12</v>
      </c>
      <c r="AE57" s="1275">
        <v>0</v>
      </c>
      <c r="AF57" s="1275">
        <v>119</v>
      </c>
      <c r="AG57" s="1275">
        <v>2</v>
      </c>
      <c r="AH57" s="1275">
        <v>3</v>
      </c>
      <c r="AI57" s="1538">
        <v>135</v>
      </c>
      <c r="AJ57" s="1275">
        <v>10</v>
      </c>
      <c r="AK57" s="493">
        <v>170.5</v>
      </c>
      <c r="AL57" s="1322"/>
      <c r="AM57" s="1339"/>
      <c r="AN57" s="1355">
        <v>8.25</v>
      </c>
      <c r="AO57" s="1389">
        <v>27</v>
      </c>
      <c r="AP57" s="1389">
        <v>58</v>
      </c>
      <c r="AQ57" s="1389">
        <v>67.833333333333343</v>
      </c>
      <c r="AR57" s="1389">
        <v>94</v>
      </c>
      <c r="AS57" s="1389">
        <v>47</v>
      </c>
      <c r="AT57" s="1389">
        <v>60</v>
      </c>
      <c r="AU57" s="1345" t="e">
        <f>フェロモントラップ野帳!$G$335</f>
        <v>#N/A</v>
      </c>
      <c r="AV57" s="1273"/>
      <c r="AW57" s="1274" t="s">
        <v>301</v>
      </c>
      <c r="AX57" s="403"/>
      <c r="AY57" s="1248"/>
      <c r="AZ57" s="403"/>
      <c r="BA57" s="403"/>
      <c r="BB57" s="403"/>
      <c r="BC57" s="403"/>
      <c r="BD57" s="403"/>
      <c r="BE57" s="403"/>
      <c r="BF57" s="403"/>
      <c r="BG57" s="403"/>
      <c r="BH57" s="403"/>
      <c r="BI57" s="403"/>
      <c r="BJ57" s="403"/>
      <c r="BK57" s="403"/>
      <c r="BL57" s="403"/>
      <c r="BM57" s="403"/>
      <c r="BN57" s="403"/>
      <c r="BO57" s="403"/>
      <c r="BP57" s="403"/>
      <c r="BQ57" s="403"/>
      <c r="BR57" s="403"/>
      <c r="BS57" s="403"/>
      <c r="BT57" s="403"/>
      <c r="BU57" s="403"/>
      <c r="BV57" s="403"/>
      <c r="BW57" s="403"/>
      <c r="BX57" s="403"/>
      <c r="BY57" s="403"/>
      <c r="BZ57" s="403"/>
      <c r="CA57" s="403"/>
    </row>
    <row r="58" spans="1:79">
      <c r="B58" s="1247" t="s">
        <v>204</v>
      </c>
      <c r="C58" s="1264" t="s">
        <v>192</v>
      </c>
      <c r="D58" s="1270" t="e">
        <f t="shared" si="4"/>
        <v>#N/A</v>
      </c>
      <c r="E58" s="1611">
        <f t="shared" si="3"/>
        <v>58.90625</v>
      </c>
      <c r="F58" s="1756"/>
      <c r="G58" s="1756"/>
      <c r="H58" s="1757" t="e">
        <f t="shared" ca="1" si="5"/>
        <v>#DIV/0!</v>
      </c>
      <c r="I58" s="715"/>
      <c r="J58" s="614"/>
      <c r="K58" s="1273" t="s">
        <v>293</v>
      </c>
      <c r="L58" s="1274" t="s">
        <v>302</v>
      </c>
      <c r="M58" s="1537">
        <v>0</v>
      </c>
      <c r="N58" s="1265">
        <v>0</v>
      </c>
      <c r="O58" s="1302">
        <v>0</v>
      </c>
      <c r="P58" s="1265">
        <v>0</v>
      </c>
      <c r="Q58" s="1265">
        <v>6</v>
      </c>
      <c r="R58" s="1265">
        <v>9</v>
      </c>
      <c r="S58" s="1265">
        <v>4</v>
      </c>
      <c r="T58" s="1265">
        <v>0</v>
      </c>
      <c r="U58" s="1265">
        <v>5</v>
      </c>
      <c r="V58" s="1265">
        <v>1</v>
      </c>
      <c r="W58" s="1265"/>
      <c r="X58" s="1265">
        <v>1</v>
      </c>
      <c r="Y58" s="1265">
        <v>3</v>
      </c>
      <c r="Z58" s="1265">
        <v>4</v>
      </c>
      <c r="AA58" s="1265">
        <v>40</v>
      </c>
      <c r="AB58" s="1265">
        <v>2</v>
      </c>
      <c r="AC58" s="1275">
        <v>0</v>
      </c>
      <c r="AD58" s="1275">
        <v>4</v>
      </c>
      <c r="AE58" s="1275">
        <v>0</v>
      </c>
      <c r="AF58" s="1275">
        <v>31</v>
      </c>
      <c r="AG58" s="1275">
        <v>2</v>
      </c>
      <c r="AH58" s="1275">
        <v>0</v>
      </c>
      <c r="AI58" s="1538">
        <v>166</v>
      </c>
      <c r="AJ58" s="1275">
        <v>10</v>
      </c>
      <c r="AK58" s="493">
        <v>315</v>
      </c>
      <c r="AL58" s="1322"/>
      <c r="AM58" s="1339"/>
      <c r="AN58" s="1355">
        <v>26.25</v>
      </c>
      <c r="AO58" s="1389">
        <v>16</v>
      </c>
      <c r="AP58" s="1389">
        <v>6</v>
      </c>
      <c r="AQ58" s="1389">
        <v>67</v>
      </c>
      <c r="AR58" s="1389">
        <v>1</v>
      </c>
      <c r="AS58" s="1389">
        <v>28.571428571428573</v>
      </c>
      <c r="AT58" s="1389">
        <v>11.428571428571427</v>
      </c>
      <c r="AU58" s="1345" t="e">
        <f>フェロモントラップ野帳!$G$340</f>
        <v>#N/A</v>
      </c>
      <c r="AV58" s="1273" t="s">
        <v>293</v>
      </c>
      <c r="AW58" s="1274" t="s">
        <v>302</v>
      </c>
      <c r="AX58" s="403"/>
      <c r="AY58" s="1248"/>
      <c r="AZ58" s="403"/>
      <c r="BA58" s="403"/>
      <c r="BB58" s="403"/>
      <c r="BC58" s="403"/>
      <c r="BD58" s="403"/>
      <c r="BE58" s="403"/>
      <c r="BF58" s="403"/>
      <c r="BG58" s="403"/>
      <c r="BH58" s="403"/>
      <c r="BI58" s="403"/>
      <c r="BJ58" s="403"/>
      <c r="BK58" s="403"/>
      <c r="BL58" s="403"/>
      <c r="BM58" s="403"/>
      <c r="BN58" s="403"/>
      <c r="BO58" s="403"/>
      <c r="BP58" s="403"/>
      <c r="BQ58" s="403"/>
      <c r="BR58" s="403"/>
      <c r="BS58" s="403"/>
      <c r="BT58" s="403"/>
      <c r="BU58" s="403"/>
      <c r="BV58" s="403"/>
      <c r="BW58" s="403"/>
      <c r="BX58" s="403"/>
      <c r="BY58" s="403"/>
      <c r="BZ58" s="403"/>
      <c r="CA58" s="403"/>
    </row>
    <row r="59" spans="1:79">
      <c r="B59" s="1247"/>
      <c r="C59" s="1264" t="s">
        <v>193</v>
      </c>
      <c r="D59" s="1270" t="e">
        <f t="shared" si="4"/>
        <v>#N/A</v>
      </c>
      <c r="E59" s="1611">
        <f t="shared" si="3"/>
        <v>43.552956349206347</v>
      </c>
      <c r="F59" s="1756"/>
      <c r="G59" s="1756"/>
      <c r="H59" s="1757" t="e">
        <f t="shared" ca="1" si="5"/>
        <v>#DIV/0!</v>
      </c>
      <c r="I59" s="715"/>
      <c r="J59" s="614"/>
      <c r="K59" s="1273"/>
      <c r="L59" s="1274" t="s">
        <v>303</v>
      </c>
      <c r="M59" s="1537">
        <v>0</v>
      </c>
      <c r="N59" s="1265">
        <v>0</v>
      </c>
      <c r="O59" s="1302">
        <v>0</v>
      </c>
      <c r="P59" s="1265">
        <v>0</v>
      </c>
      <c r="Q59" s="1265">
        <v>1</v>
      </c>
      <c r="R59" s="1265">
        <v>19</v>
      </c>
      <c r="S59" s="1265">
        <v>2</v>
      </c>
      <c r="T59" s="1265">
        <v>0</v>
      </c>
      <c r="U59" s="1265">
        <v>3</v>
      </c>
      <c r="V59" s="1265">
        <v>0</v>
      </c>
      <c r="W59" s="1265"/>
      <c r="X59" s="1265">
        <v>0</v>
      </c>
      <c r="Y59" s="1265">
        <v>6</v>
      </c>
      <c r="Z59" s="1265">
        <v>1</v>
      </c>
      <c r="AA59" s="1265">
        <v>18</v>
      </c>
      <c r="AB59" s="1265">
        <v>0</v>
      </c>
      <c r="AC59" s="1275">
        <v>1</v>
      </c>
      <c r="AD59" s="1275">
        <v>1</v>
      </c>
      <c r="AE59" s="1275">
        <v>0</v>
      </c>
      <c r="AF59" s="1275">
        <v>20</v>
      </c>
      <c r="AG59" s="1275">
        <v>0</v>
      </c>
      <c r="AH59" s="1275">
        <v>1</v>
      </c>
      <c r="AI59" s="1538">
        <v>6</v>
      </c>
      <c r="AJ59" s="1275">
        <v>9</v>
      </c>
      <c r="AK59" s="493">
        <v>176</v>
      </c>
      <c r="AL59" s="1322"/>
      <c r="AM59" s="1339"/>
      <c r="AN59" s="1355">
        <v>15.75</v>
      </c>
      <c r="AO59" s="1389">
        <v>11.88</v>
      </c>
      <c r="AP59" s="1389">
        <v>15</v>
      </c>
      <c r="AQ59" s="1389">
        <v>78</v>
      </c>
      <c r="AR59" s="1389">
        <v>44</v>
      </c>
      <c r="AS59" s="1389">
        <v>2.2222222222222223</v>
      </c>
      <c r="AT59" s="1389">
        <v>5.5714285714285712</v>
      </c>
      <c r="AU59" s="1345" t="e">
        <f>フェロモントラップ野帳!$G$345</f>
        <v>#N/A</v>
      </c>
      <c r="AV59" s="1273"/>
      <c r="AW59" s="1274" t="s">
        <v>303</v>
      </c>
      <c r="AX59" s="403"/>
      <c r="AY59" s="1248"/>
      <c r="AZ59" s="403"/>
      <c r="BA59" s="403"/>
      <c r="BB59" s="403"/>
      <c r="BC59" s="403"/>
      <c r="BD59" s="403"/>
      <c r="BE59" s="403"/>
      <c r="BF59" s="403"/>
      <c r="BG59" s="403"/>
      <c r="BH59" s="403"/>
      <c r="BI59" s="403"/>
      <c r="BJ59" s="403"/>
      <c r="BK59" s="403"/>
      <c r="BL59" s="403"/>
      <c r="BM59" s="403"/>
      <c r="BN59" s="403"/>
      <c r="BO59" s="403"/>
      <c r="BP59" s="403"/>
      <c r="BQ59" s="403"/>
      <c r="BR59" s="403"/>
      <c r="BS59" s="403"/>
      <c r="BT59" s="403"/>
      <c r="BU59" s="403"/>
      <c r="BV59" s="403"/>
      <c r="BW59" s="403"/>
      <c r="BX59" s="403"/>
      <c r="BY59" s="403"/>
      <c r="BZ59" s="403"/>
      <c r="CA59" s="403"/>
    </row>
    <row r="60" spans="1:79">
      <c r="B60" s="1247"/>
      <c r="C60" s="1264" t="s">
        <v>194</v>
      </c>
      <c r="D60" s="1270" t="e">
        <f t="shared" si="4"/>
        <v>#N/A</v>
      </c>
      <c r="E60" s="1611">
        <f t="shared" si="3"/>
        <v>19.170357142857142</v>
      </c>
      <c r="F60" s="1756"/>
      <c r="G60" s="1756"/>
      <c r="H60" s="1757" t="e">
        <f t="shared" ca="1" si="5"/>
        <v>#DIV/0!</v>
      </c>
      <c r="I60" s="715"/>
      <c r="J60" s="614"/>
      <c r="K60" s="1273"/>
      <c r="L60" s="1274" t="s">
        <v>304</v>
      </c>
      <c r="M60" s="1537">
        <v>0</v>
      </c>
      <c r="N60" s="1265">
        <v>0</v>
      </c>
      <c r="O60" s="1302">
        <v>0</v>
      </c>
      <c r="P60" s="1265">
        <v>0</v>
      </c>
      <c r="Q60" s="1265">
        <v>0</v>
      </c>
      <c r="R60" s="1265">
        <v>4</v>
      </c>
      <c r="S60" s="1265">
        <v>0</v>
      </c>
      <c r="T60" s="1265">
        <v>0</v>
      </c>
      <c r="U60" s="1265">
        <v>3</v>
      </c>
      <c r="V60" s="1265">
        <v>0</v>
      </c>
      <c r="W60" s="1265"/>
      <c r="X60" s="1265">
        <v>0</v>
      </c>
      <c r="Y60" s="1265">
        <v>4</v>
      </c>
      <c r="Z60" s="1265">
        <v>0</v>
      </c>
      <c r="AA60" s="1265"/>
      <c r="AB60" s="1265">
        <v>0</v>
      </c>
      <c r="AC60" s="1275">
        <v>0</v>
      </c>
      <c r="AD60" s="1275">
        <v>2</v>
      </c>
      <c r="AE60" s="1275">
        <v>0</v>
      </c>
      <c r="AF60" s="1275">
        <v>5</v>
      </c>
      <c r="AG60" s="1275">
        <v>1</v>
      </c>
      <c r="AH60" s="1275">
        <v>0</v>
      </c>
      <c r="AI60" s="1538">
        <v>16</v>
      </c>
      <c r="AJ60" s="1275">
        <v>9.1999999999999993</v>
      </c>
      <c r="AK60" s="493">
        <v>45.6</v>
      </c>
      <c r="AL60" s="1322"/>
      <c r="AM60" s="1339"/>
      <c r="AN60" s="1355">
        <v>11</v>
      </c>
      <c r="AO60" s="1389">
        <v>7.12</v>
      </c>
      <c r="AP60" s="1389">
        <v>32</v>
      </c>
      <c r="AQ60" s="1389">
        <v>33</v>
      </c>
      <c r="AR60" s="1389">
        <v>17.5</v>
      </c>
      <c r="AS60" s="1389">
        <v>2.1428571428571428</v>
      </c>
      <c r="AT60" s="1389">
        <v>5</v>
      </c>
      <c r="AU60" s="1345" t="e">
        <f>フェロモントラップ野帳!$G$350</f>
        <v>#N/A</v>
      </c>
      <c r="AV60" s="1273"/>
      <c r="AW60" s="1274" t="s">
        <v>304</v>
      </c>
      <c r="AX60" s="403"/>
      <c r="AY60" s="1248"/>
      <c r="AZ60" s="403"/>
      <c r="BA60" s="403"/>
      <c r="BB60" s="403"/>
      <c r="BC60" s="403"/>
      <c r="BD60" s="403"/>
      <c r="BE60" s="403"/>
      <c r="BF60" s="403"/>
      <c r="BG60" s="403"/>
      <c r="BH60" s="403"/>
      <c r="BI60" s="403"/>
      <c r="BJ60" s="403"/>
      <c r="BK60" s="403"/>
      <c r="BL60" s="403"/>
      <c r="BM60" s="403"/>
      <c r="BN60" s="403"/>
      <c r="BO60" s="403"/>
      <c r="BP60" s="403"/>
      <c r="BQ60" s="403"/>
      <c r="BR60" s="403"/>
      <c r="BS60" s="403"/>
      <c r="BT60" s="403"/>
      <c r="BU60" s="403"/>
      <c r="BV60" s="403"/>
      <c r="BW60" s="403"/>
      <c r="BX60" s="403"/>
      <c r="BY60" s="403"/>
      <c r="BZ60" s="403"/>
      <c r="CA60" s="403"/>
    </row>
    <row r="61" spans="1:79" ht="14.5" thickBot="1">
      <c r="B61" s="1267"/>
      <c r="C61" s="1261" t="s">
        <v>195</v>
      </c>
      <c r="D61" s="1300" t="e">
        <f t="shared" si="4"/>
        <v>#N/A</v>
      </c>
      <c r="E61" s="1608">
        <f t="shared" si="3"/>
        <v>13.175000000000001</v>
      </c>
      <c r="F61" s="1762"/>
      <c r="G61" s="1762"/>
      <c r="H61" s="1763" t="e">
        <f t="shared" ca="1" si="5"/>
        <v>#DIV/0!</v>
      </c>
      <c r="I61" s="717"/>
      <c r="J61" s="614"/>
      <c r="K61" s="1279"/>
      <c r="L61" s="1280" t="s">
        <v>305</v>
      </c>
      <c r="M61" s="1540">
        <v>0</v>
      </c>
      <c r="N61" s="1268">
        <v>0</v>
      </c>
      <c r="O61" s="1303">
        <v>0</v>
      </c>
      <c r="P61" s="1268">
        <v>0</v>
      </c>
      <c r="Q61" s="1268">
        <v>0</v>
      </c>
      <c r="R61" s="1268">
        <v>3</v>
      </c>
      <c r="S61" s="1268">
        <v>0</v>
      </c>
      <c r="T61" s="1268">
        <v>0</v>
      </c>
      <c r="U61" s="1268">
        <v>0</v>
      </c>
      <c r="V61" s="1268">
        <v>0</v>
      </c>
      <c r="W61" s="1268"/>
      <c r="X61" s="1268">
        <v>0</v>
      </c>
      <c r="Y61" s="1268">
        <v>0</v>
      </c>
      <c r="Z61" s="1268">
        <v>0</v>
      </c>
      <c r="AA61" s="1268"/>
      <c r="AB61" s="1268">
        <v>0</v>
      </c>
      <c r="AC61" s="1281">
        <v>0</v>
      </c>
      <c r="AD61" s="1281">
        <v>2</v>
      </c>
      <c r="AE61" s="1281">
        <v>0</v>
      </c>
      <c r="AF61" s="1281">
        <v>4</v>
      </c>
      <c r="AG61" s="1281">
        <v>0</v>
      </c>
      <c r="AH61" s="1281">
        <v>1</v>
      </c>
      <c r="AI61" s="1541">
        <v>0</v>
      </c>
      <c r="AJ61" s="1281">
        <v>3.4</v>
      </c>
      <c r="AK61" s="511">
        <v>30.4</v>
      </c>
      <c r="AL61" s="1329"/>
      <c r="AM61" s="1340"/>
      <c r="AN61" s="1356">
        <v>0</v>
      </c>
      <c r="AO61" s="1390">
        <v>1</v>
      </c>
      <c r="AP61" s="1390">
        <v>17</v>
      </c>
      <c r="AQ61" s="1390">
        <v>27</v>
      </c>
      <c r="AR61" s="1390">
        <v>30</v>
      </c>
      <c r="AS61" s="1390">
        <v>0</v>
      </c>
      <c r="AT61" s="1390">
        <v>0</v>
      </c>
      <c r="AU61" s="1346" t="e">
        <f>フェロモントラップ野帳!$G$356</f>
        <v>#N/A</v>
      </c>
      <c r="AV61" s="1279"/>
      <c r="AW61" s="1280" t="s">
        <v>305</v>
      </c>
      <c r="AX61" s="403"/>
      <c r="AY61" s="1248"/>
      <c r="AZ61" s="403"/>
      <c r="BA61" s="403"/>
      <c r="BB61" s="403"/>
      <c r="BC61" s="403"/>
      <c r="BD61" s="403"/>
      <c r="BE61" s="403"/>
      <c r="BF61" s="403"/>
      <c r="BG61" s="403"/>
      <c r="BH61" s="403"/>
      <c r="BI61" s="403"/>
      <c r="BJ61" s="403"/>
      <c r="BK61" s="403"/>
      <c r="BL61" s="403"/>
      <c r="BM61" s="403"/>
      <c r="BN61" s="403"/>
      <c r="BO61" s="403"/>
      <c r="BP61" s="403"/>
      <c r="BQ61" s="403"/>
      <c r="BR61" s="403"/>
      <c r="BS61" s="403"/>
      <c r="BT61" s="403"/>
      <c r="BU61" s="403"/>
      <c r="BV61" s="403"/>
      <c r="BW61" s="403"/>
      <c r="BX61" s="403"/>
      <c r="BY61" s="403"/>
      <c r="BZ61" s="403"/>
      <c r="CA61" s="403"/>
    </row>
    <row r="62" spans="1:79">
      <c r="E62" s="583"/>
    </row>
    <row r="66" spans="9:49">
      <c r="AM66" s="740"/>
    </row>
    <row r="71" spans="9:49">
      <c r="I71" s="426"/>
      <c r="J71" s="426"/>
      <c r="K71" s="426"/>
      <c r="L71" s="426"/>
      <c r="M71" s="426"/>
      <c r="N71" s="426"/>
      <c r="AV71" s="1251"/>
      <c r="AW71" s="1251"/>
    </row>
    <row r="72" spans="9:49">
      <c r="I72" s="426"/>
      <c r="J72" s="426"/>
      <c r="O72" s="412" t="str">
        <f ca="1">IF(ISERROR(OFFSET(#REF!,0,0,1,#REF!-90)),"",OFFSET(#REF!,0,0,1,#REF!-90))</f>
        <v/>
      </c>
      <c r="P72" s="412" t="str">
        <f ca="1">IF(ISERROR(OFFSET(#REF!,0,0,1,#REF!-90)),"",OFFSET(#REF!,0,0,1,#REF!-90))</f>
        <v/>
      </c>
      <c r="Q72" s="532"/>
      <c r="R72" s="426"/>
      <c r="S72" s="426"/>
      <c r="T72" s="426"/>
      <c r="U72" s="426"/>
    </row>
    <row r="73" spans="9:49">
      <c r="I73" s="426"/>
      <c r="J73" s="426"/>
      <c r="O73" s="412" t="str">
        <f ca="1">IF(ISERROR(OFFSET(#REF!,0,0,1,#REF!-90)),"",OFFSET(#REF!,0,0,1,#REF!-90))</f>
        <v/>
      </c>
      <c r="P73" s="412" t="str">
        <f ca="1">IF(ISERROR(OFFSET(#REF!,0,0,1,#REF!-90)),"",OFFSET(#REF!,0,0,1,#REF!-90))</f>
        <v/>
      </c>
      <c r="Q73" s="532"/>
      <c r="R73" s="426"/>
      <c r="S73" s="426"/>
      <c r="T73" s="426"/>
      <c r="U73" s="426"/>
    </row>
    <row r="74" spans="9:49">
      <c r="I74" s="426"/>
      <c r="J74" s="426"/>
      <c r="O74" s="412" t="str">
        <f ca="1">IF(ISERROR(OFFSET(#REF!,0,0,1,#REF!-90)),"",OFFSET(#REF!,0,0,1,#REF!-90))</f>
        <v/>
      </c>
      <c r="P74" s="412" t="str">
        <f ca="1">IF(ISERROR(OFFSET(#REF!,0,0,1,#REF!-90)),"",OFFSET(#REF!,0,0,1,#REF!-90))</f>
        <v/>
      </c>
      <c r="Q74" s="532"/>
      <c r="R74" s="426"/>
      <c r="S74" s="426"/>
      <c r="T74" s="426"/>
      <c r="U74" s="426"/>
    </row>
    <row r="75" spans="9:49">
      <c r="I75" s="426"/>
      <c r="J75" s="426"/>
      <c r="O75" s="412" t="str">
        <f ca="1">IF(ISERROR(OFFSET(#REF!,0,0,1,#REF!-90)),"",OFFSET(#REF!,0,0,1,#REF!-90))</f>
        <v/>
      </c>
      <c r="P75" s="412" t="str">
        <f ca="1">IF(ISERROR(OFFSET(#REF!,0,0,1,#REF!-90)),"",OFFSET(#REF!,0,0,1,#REF!-90))</f>
        <v/>
      </c>
      <c r="Q75" s="532"/>
      <c r="R75" s="426"/>
      <c r="S75" s="426"/>
      <c r="T75" s="426"/>
      <c r="U75" s="426"/>
    </row>
    <row r="76" spans="9:49">
      <c r="I76" s="426"/>
      <c r="J76" s="426"/>
      <c r="O76" s="412" t="str">
        <f ca="1">IF(ISERROR(OFFSET(#REF!,0,0,1,#REF!-90)),"",OFFSET(#REF!,0,0,1,#REF!-90))</f>
        <v/>
      </c>
      <c r="P76" s="412" t="str">
        <f ca="1">IF(ISERROR(OFFSET(#REF!,0,0,1,#REF!-90)),"",OFFSET(#REF!,0,0,1,#REF!-90))</f>
        <v/>
      </c>
      <c r="Q76" s="532"/>
      <c r="R76" s="426"/>
      <c r="S76" s="426"/>
      <c r="T76" s="426"/>
      <c r="U76" s="426"/>
    </row>
    <row r="77" spans="9:49">
      <c r="I77" s="426"/>
      <c r="J77" s="426"/>
    </row>
    <row r="78" spans="9:49">
      <c r="I78" s="426"/>
      <c r="J78" s="426"/>
    </row>
    <row r="79" spans="9:49">
      <c r="I79" s="426"/>
      <c r="J79" s="426"/>
    </row>
    <row r="80" spans="9:49">
      <c r="I80" s="426"/>
      <c r="J80" s="426"/>
    </row>
  </sheetData>
  <customSheetViews>
    <customSheetView guid="{BC749C3C-D733-4D37-8792-BBFA31845F93}" scale="85" hiddenColumns="1" showRuler="0">
      <selection activeCell="D5" sqref="D5"/>
      <pageMargins left="0.59055118110236227" right="0.59055118110236227" top="0.59055118110236227" bottom="0.59055118110236227" header="0.51181102362204722" footer="0.51181102362204722"/>
      <pageSetup paperSize="9" scale="73" orientation="landscape" verticalDpi="0" r:id="rId1"/>
      <headerFooter alignWithMargins="0"/>
    </customSheetView>
  </customSheetViews>
  <mergeCells count="7">
    <mergeCell ref="AV5:AW5"/>
    <mergeCell ref="J2:K2"/>
    <mergeCell ref="E6:E7"/>
    <mergeCell ref="F5:H5"/>
    <mergeCell ref="F7:H7"/>
    <mergeCell ref="B2:H2"/>
    <mergeCell ref="K5:L5"/>
  </mergeCells>
  <phoneticPr fontId="2"/>
  <dataValidations xWindow="183" yWindow="195" count="1">
    <dataValidation type="whole" allowBlank="1" showInputMessage="1" showErrorMessage="1" error="年数が間違っています。" prompt="年数を入力して下さい。" sqref="D6" xr:uid="{00000000-0002-0000-0800-000000000000}">
      <formula1>1985</formula1>
      <formula2>J2</formula2>
    </dataValidation>
  </dataValidations>
  <pageMargins left="0.59055118110236227" right="0.59055118110236227" top="0.59055118110236227" bottom="0.59055118110236227" header="0.51181102362204722" footer="0.51181102362204722"/>
  <pageSetup paperSize="9" scale="73" orientation="landscape" verticalDpi="1200" r:id="rId2"/>
  <headerFooter alignWithMargins="0"/>
  <drawing r:id="rId3"/>
  <legacyDrawing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1211">
    <tabColor rgb="FF0000FF"/>
  </sheetPr>
  <dimension ref="A1:BK79"/>
  <sheetViews>
    <sheetView zoomScale="80" zoomScaleNormal="80" zoomScaleSheetLayoutView="80" workbookViewId="0">
      <pane ySplit="6" topLeftCell="A7" activePane="bottomLeft" state="frozenSplit"/>
      <selection activeCell="AX16" sqref="AX16"/>
      <selection pane="bottomLeft" activeCell="BB64" sqref="BB64"/>
    </sheetView>
  </sheetViews>
  <sheetFormatPr defaultColWidth="9" defaultRowHeight="14"/>
  <cols>
    <col min="1" max="1" width="2.6328125" style="412" customWidth="1"/>
    <col min="2" max="2" width="5.6328125" style="412" customWidth="1"/>
    <col min="3" max="3" width="6.6328125" style="412" customWidth="1"/>
    <col min="4" max="4" width="10.453125" style="412" customWidth="1"/>
    <col min="5" max="5" width="0.453125" style="412" customWidth="1"/>
    <col min="6" max="6" width="10.453125" style="412" customWidth="1"/>
    <col min="7" max="7" width="0.453125" style="412" customWidth="1"/>
    <col min="8" max="8" width="7.6328125" style="412" customWidth="1"/>
    <col min="9" max="9" width="2.6328125" style="412" customWidth="1"/>
    <col min="10" max="10" width="7.6328125" style="412" customWidth="1"/>
    <col min="11" max="11" width="7.6328125" style="412" hidden="1" customWidth="1"/>
    <col min="12" max="12" width="6.36328125" style="412" customWidth="1"/>
    <col min="13" max="13" width="7.1796875" style="412" customWidth="1"/>
    <col min="14" max="14" width="6.6328125" style="412" customWidth="1"/>
    <col min="15" max="37" width="6.6328125" style="412" hidden="1" customWidth="1"/>
    <col min="38" max="40" width="7.08984375" style="412" hidden="1" customWidth="1"/>
    <col min="41" max="48" width="7.36328125" style="412" customWidth="1"/>
    <col min="49" max="50" width="7.36328125" style="1248" customWidth="1"/>
    <col min="51" max="51" width="7.36328125" style="412" customWidth="1"/>
    <col min="52" max="53" width="7.36328125" style="1248" customWidth="1"/>
    <col min="54" max="54" width="7.36328125" style="412" customWidth="1"/>
    <col min="55" max="55" width="6.453125" style="412" bestFit="1" customWidth="1"/>
    <col min="56" max="58" width="5.6328125" style="412" bestFit="1" customWidth="1"/>
    <col min="59" max="59" width="6.453125" style="412" bestFit="1" customWidth="1"/>
    <col min="60" max="60" width="5.6328125" style="412" bestFit="1" customWidth="1"/>
    <col min="61" max="61" width="6.453125" style="412" bestFit="1" customWidth="1"/>
    <col min="62" max="79" width="9.08984375" style="412" customWidth="1"/>
    <col min="80" max="16384" width="9" style="412"/>
  </cols>
  <sheetData>
    <row r="1" spans="1:62" ht="6" customHeight="1">
      <c r="A1" s="403"/>
      <c r="B1" s="403"/>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row>
    <row r="2" spans="1:62" ht="24" customHeight="1">
      <c r="A2" s="403"/>
      <c r="B2" s="1890" t="s">
        <v>271</v>
      </c>
      <c r="C2" s="1890"/>
      <c r="D2" s="1890"/>
      <c r="E2" s="1890"/>
      <c r="F2" s="1890"/>
      <c r="G2" s="1890"/>
      <c r="H2" s="1890"/>
      <c r="I2" s="1890"/>
      <c r="J2" s="1890"/>
      <c r="K2" s="1890"/>
      <c r="L2" s="1901">
        <v>2026</v>
      </c>
      <c r="M2" s="1901"/>
      <c r="N2" s="415"/>
      <c r="S2" s="403"/>
      <c r="T2" s="403"/>
      <c r="U2" s="403"/>
      <c r="V2" s="403"/>
      <c r="W2" s="403"/>
      <c r="X2" s="403"/>
      <c r="Y2" s="403"/>
      <c r="Z2" s="403"/>
      <c r="AA2" s="403"/>
      <c r="AB2" s="403"/>
      <c r="AC2" s="403"/>
      <c r="AD2" s="403"/>
      <c r="AE2" s="403"/>
      <c r="AF2" s="403"/>
      <c r="AG2" s="403"/>
      <c r="AH2" s="403"/>
      <c r="AI2" s="403"/>
      <c r="AL2" s="412">
        <f t="shared" ref="AL2:AN2" si="0">AVERAGE(AL45:AL50)</f>
        <v>0.16666666666666666</v>
      </c>
      <c r="AM2" s="412">
        <f t="shared" si="0"/>
        <v>1.3333333333333333</v>
      </c>
      <c r="AN2" s="412">
        <f t="shared" si="0"/>
        <v>6.833333333333333</v>
      </c>
      <c r="AO2" s="1248"/>
      <c r="AP2" s="1248"/>
      <c r="AQ2" s="1248"/>
      <c r="AR2" s="1248"/>
      <c r="AS2" s="1248"/>
      <c r="AT2" s="1248"/>
      <c r="AU2" s="1248"/>
      <c r="AY2" s="1248"/>
    </row>
    <row r="3" spans="1:62" ht="18.75" customHeight="1" thickBot="1">
      <c r="A3" s="403"/>
      <c r="B3" s="417"/>
      <c r="C3" s="403"/>
      <c r="D3" s="403"/>
      <c r="E3" s="403"/>
      <c r="F3" s="419"/>
      <c r="G3" s="419"/>
      <c r="H3" s="419"/>
      <c r="I3" s="403"/>
      <c r="J3" s="403"/>
      <c r="K3" s="419"/>
      <c r="L3" s="403"/>
      <c r="M3" s="403"/>
      <c r="N3" s="1319" t="s">
        <v>283</v>
      </c>
      <c r="O3" s="403"/>
      <c r="P3" s="403"/>
      <c r="Q3" s="403"/>
      <c r="R3" s="403"/>
      <c r="S3" s="403"/>
      <c r="T3" s="403"/>
      <c r="U3" s="403"/>
      <c r="V3" s="403"/>
      <c r="W3" s="403"/>
      <c r="X3" s="403"/>
      <c r="Y3" s="403"/>
      <c r="Z3" s="403"/>
      <c r="AA3" s="403"/>
      <c r="AB3" s="403"/>
      <c r="AC3" s="403"/>
      <c r="AD3" s="403"/>
      <c r="AE3" s="403"/>
      <c r="AF3" s="403"/>
      <c r="AG3" s="403"/>
      <c r="AH3" s="403"/>
      <c r="AI3" s="403"/>
      <c r="AJ3" s="403"/>
      <c r="AK3" s="403"/>
      <c r="AL3" s="403"/>
      <c r="AM3" s="403"/>
      <c r="AN3" s="403"/>
      <c r="AO3" s="1248"/>
      <c r="AP3" s="1248"/>
      <c r="AQ3" s="1248"/>
      <c r="AR3" s="1248"/>
      <c r="AS3" s="1248"/>
      <c r="AT3" s="1248"/>
      <c r="AU3" s="1248"/>
      <c r="AV3" s="1248"/>
      <c r="AY3" s="912"/>
      <c r="AZ3" s="912"/>
      <c r="BA3" s="912"/>
      <c r="BB3" s="1764"/>
    </row>
    <row r="4" spans="1:62" ht="21" customHeight="1" thickBot="1">
      <c r="A4" s="403"/>
      <c r="B4" s="404"/>
      <c r="C4" s="420"/>
      <c r="D4" s="421" t="s">
        <v>206</v>
      </c>
      <c r="E4" s="422"/>
      <c r="F4" s="533" t="s">
        <v>207</v>
      </c>
      <c r="G4" s="422"/>
      <c r="H4" s="1885" t="s">
        <v>208</v>
      </c>
      <c r="I4" s="1885"/>
      <c r="J4" s="1886"/>
      <c r="K4" s="693"/>
      <c r="L4" s="424"/>
      <c r="M4" s="424"/>
      <c r="N4" s="424"/>
      <c r="O4" s="418"/>
      <c r="P4" s="418"/>
      <c r="Q4" s="418"/>
      <c r="R4" s="418"/>
      <c r="S4" s="418"/>
      <c r="T4" s="418"/>
      <c r="U4" s="418"/>
      <c r="V4" s="418"/>
      <c r="W4" s="418"/>
      <c r="X4" s="418"/>
      <c r="Y4" s="418"/>
      <c r="Z4" s="418"/>
      <c r="AA4" s="418"/>
      <c r="AB4" s="418"/>
      <c r="AC4" s="418"/>
      <c r="AD4" s="418"/>
      <c r="AE4" s="418"/>
      <c r="AF4" s="418"/>
      <c r="AG4" s="418"/>
      <c r="AH4" s="418"/>
      <c r="AI4" s="418"/>
      <c r="AJ4" s="418"/>
      <c r="AK4" s="418"/>
      <c r="AL4" s="418"/>
      <c r="AM4" s="418"/>
      <c r="AN4" s="419"/>
      <c r="AO4" s="419"/>
      <c r="AP4" s="419"/>
      <c r="AQ4" s="425"/>
      <c r="AR4" s="695"/>
      <c r="AS4" s="695"/>
      <c r="AT4" s="695"/>
      <c r="AU4" s="403"/>
    </row>
    <row r="5" spans="1:62" ht="15.5">
      <c r="A5" s="403"/>
      <c r="B5" s="405"/>
      <c r="C5" s="419"/>
      <c r="D5" s="427">
        <v>2026</v>
      </c>
      <c r="E5" s="429"/>
      <c r="F5" s="1891" t="s">
        <v>244</v>
      </c>
      <c r="G5" s="429"/>
      <c r="H5" s="430">
        <f>D5-5</f>
        <v>2021</v>
      </c>
      <c r="I5" s="431" t="s">
        <v>209</v>
      </c>
      <c r="J5" s="432">
        <f>D5-1</f>
        <v>2025</v>
      </c>
      <c r="K5" s="641">
        <f>$J$5-$H$5+1</f>
        <v>5</v>
      </c>
      <c r="L5" s="411"/>
      <c r="M5" s="434"/>
      <c r="N5" s="435"/>
      <c r="O5" s="437">
        <v>1987</v>
      </c>
      <c r="P5" s="437">
        <v>1988</v>
      </c>
      <c r="Q5" s="437">
        <v>1989</v>
      </c>
      <c r="R5" s="437">
        <v>1990</v>
      </c>
      <c r="S5" s="437">
        <v>1991</v>
      </c>
      <c r="T5" s="437">
        <v>1992</v>
      </c>
      <c r="U5" s="437">
        <v>1993</v>
      </c>
      <c r="V5" s="437">
        <v>1994</v>
      </c>
      <c r="W5" s="437">
        <v>1995</v>
      </c>
      <c r="X5" s="437">
        <v>1996</v>
      </c>
      <c r="Y5" s="437">
        <v>1997</v>
      </c>
      <c r="Z5" s="437">
        <v>1998</v>
      </c>
      <c r="AA5" s="437">
        <v>1999</v>
      </c>
      <c r="AB5" s="437">
        <v>2000</v>
      </c>
      <c r="AC5" s="437">
        <v>2001</v>
      </c>
      <c r="AD5" s="437">
        <v>2002</v>
      </c>
      <c r="AE5" s="437">
        <v>2003</v>
      </c>
      <c r="AF5" s="437">
        <v>2004</v>
      </c>
      <c r="AG5" s="437">
        <v>2005</v>
      </c>
      <c r="AH5" s="437">
        <v>2006</v>
      </c>
      <c r="AI5" s="437">
        <v>2007</v>
      </c>
      <c r="AJ5" s="856">
        <v>2008</v>
      </c>
      <c r="AK5" s="856">
        <v>2009</v>
      </c>
      <c r="AL5" s="1075">
        <v>2010</v>
      </c>
      <c r="AM5" s="1255">
        <v>2011</v>
      </c>
      <c r="AN5" s="1075">
        <v>2012</v>
      </c>
      <c r="AO5" s="439">
        <v>2013</v>
      </c>
      <c r="AP5" s="439">
        <v>2014</v>
      </c>
      <c r="AQ5" s="439">
        <v>2015</v>
      </c>
      <c r="AR5" s="439">
        <v>2016</v>
      </c>
      <c r="AS5" s="439">
        <v>2017</v>
      </c>
      <c r="AT5" s="439">
        <v>2018</v>
      </c>
      <c r="AU5" s="438">
        <v>2019</v>
      </c>
      <c r="AV5" s="857">
        <v>2020</v>
      </c>
      <c r="AW5" s="1326">
        <v>2021</v>
      </c>
      <c r="AX5" s="1326">
        <v>2022</v>
      </c>
      <c r="AY5" s="857">
        <v>2023</v>
      </c>
      <c r="AZ5" s="1326">
        <v>2024</v>
      </c>
      <c r="BA5" s="1326">
        <v>2025</v>
      </c>
      <c r="BB5" s="1326">
        <v>2026</v>
      </c>
      <c r="BC5" s="1571"/>
      <c r="BD5" s="1571"/>
      <c r="BE5" s="1571"/>
      <c r="BF5" s="1571"/>
      <c r="BG5" s="1571"/>
      <c r="BH5" s="1571"/>
    </row>
    <row r="6" spans="1:62" ht="14.5" thickBot="1">
      <c r="A6" s="403"/>
      <c r="B6" s="406"/>
      <c r="C6" s="418"/>
      <c r="D6" s="441" t="s">
        <v>543</v>
      </c>
      <c r="E6" s="442"/>
      <c r="F6" s="1892"/>
      <c r="G6" s="442"/>
      <c r="H6" s="1913">
        <f>IF(OR(ISBLANK($H$5),ISBLANK($J$5)),"　ヶ年平均",$J$5-$H$5+1)</f>
        <v>5</v>
      </c>
      <c r="I6" s="1887"/>
      <c r="J6" s="1888"/>
      <c r="K6" s="697"/>
      <c r="L6" s="444"/>
      <c r="M6" s="406"/>
      <c r="N6" s="445"/>
      <c r="O6" s="447" t="s">
        <v>247</v>
      </c>
      <c r="P6" s="447" t="s">
        <v>248</v>
      </c>
      <c r="Q6" s="447" t="s">
        <v>249</v>
      </c>
      <c r="R6" s="447" t="s">
        <v>250</v>
      </c>
      <c r="S6" s="447" t="s">
        <v>251</v>
      </c>
      <c r="T6" s="447" t="s">
        <v>252</v>
      </c>
      <c r="U6" s="447" t="s">
        <v>253</v>
      </c>
      <c r="V6" s="447" t="s">
        <v>254</v>
      </c>
      <c r="W6" s="447" t="s">
        <v>255</v>
      </c>
      <c r="X6" s="447" t="s">
        <v>256</v>
      </c>
      <c r="Y6" s="447" t="s">
        <v>257</v>
      </c>
      <c r="Z6" s="447" t="s">
        <v>258</v>
      </c>
      <c r="AA6" s="447" t="s">
        <v>259</v>
      </c>
      <c r="AB6" s="447" t="s">
        <v>260</v>
      </c>
      <c r="AC6" s="447" t="s">
        <v>261</v>
      </c>
      <c r="AD6" s="447" t="s">
        <v>262</v>
      </c>
      <c r="AE6" s="447" t="s">
        <v>263</v>
      </c>
      <c r="AF6" s="447" t="s">
        <v>264</v>
      </c>
      <c r="AG6" s="447" t="s">
        <v>265</v>
      </c>
      <c r="AH6" s="447" t="s">
        <v>266</v>
      </c>
      <c r="AI6" s="447" t="s">
        <v>267</v>
      </c>
      <c r="AJ6" s="447" t="s">
        <v>268</v>
      </c>
      <c r="AK6" s="447" t="s">
        <v>210</v>
      </c>
      <c r="AL6" s="448" t="s">
        <v>211</v>
      </c>
      <c r="AM6" s="447" t="s">
        <v>269</v>
      </c>
      <c r="AN6" s="448" t="s">
        <v>213</v>
      </c>
      <c r="AO6" s="448" t="s">
        <v>214</v>
      </c>
      <c r="AP6" s="448" t="s">
        <v>215</v>
      </c>
      <c r="AQ6" s="448" t="s">
        <v>216</v>
      </c>
      <c r="AR6" s="755" t="s">
        <v>217</v>
      </c>
      <c r="AS6" s="755" t="s">
        <v>270</v>
      </c>
      <c r="AT6" s="943" t="s">
        <v>308</v>
      </c>
      <c r="AU6" s="863" t="s">
        <v>315</v>
      </c>
      <c r="AV6" s="1064" t="s">
        <v>327</v>
      </c>
      <c r="AW6" s="1366" t="s">
        <v>329</v>
      </c>
      <c r="AX6" s="1366" t="s">
        <v>330</v>
      </c>
      <c r="AY6" s="1366" t="s">
        <v>476</v>
      </c>
      <c r="AZ6" s="1366" t="s">
        <v>332</v>
      </c>
      <c r="BA6" s="1366" t="s">
        <v>537</v>
      </c>
      <c r="BB6" s="1366" t="s">
        <v>543</v>
      </c>
      <c r="BC6" s="499"/>
      <c r="BD6" s="1162"/>
      <c r="BE6" s="1162"/>
      <c r="BF6" s="1162"/>
      <c r="BG6" s="1162"/>
      <c r="BH6" s="1162"/>
      <c r="BI6" s="1162"/>
    </row>
    <row r="7" spans="1:62" ht="13.5" customHeight="1">
      <c r="A7" s="403"/>
      <c r="B7" s="408"/>
      <c r="C7" s="529" t="s">
        <v>189</v>
      </c>
      <c r="D7" s="482">
        <f t="shared" ref="D7:D60" ca="1" si="1">IF(ISBLANK($D$5),-20,OFFSET($O7,0,$D$5-1987,1,1))</f>
        <v>0</v>
      </c>
      <c r="E7" s="731"/>
      <c r="F7" s="1606">
        <f ca="1">AVERAGE(OFFSET(O7,0,$L$2-1988,1,-10))</f>
        <v>0</v>
      </c>
      <c r="G7" s="732"/>
      <c r="H7" s="733"/>
      <c r="I7" s="734"/>
      <c r="J7" s="712">
        <f ca="1">IF(OR(ISBLANK($H$5),ISBLANK($J$5)),-20,AVERAGE(OFFSET($O7,0,$H$5-1987,1,$J$5-$H$5+1)))</f>
        <v>0</v>
      </c>
      <c r="K7" s="703"/>
      <c r="L7" s="444"/>
      <c r="M7" s="408"/>
      <c r="N7" s="484" t="s">
        <v>300</v>
      </c>
      <c r="O7" s="704"/>
      <c r="P7" s="594"/>
      <c r="Q7" s="594"/>
      <c r="R7" s="594"/>
      <c r="S7" s="594"/>
      <c r="T7" s="594"/>
      <c r="U7" s="594"/>
      <c r="V7" s="594"/>
      <c r="W7" s="594"/>
      <c r="X7" s="594"/>
      <c r="Y7" s="594"/>
      <c r="Z7" s="594"/>
      <c r="AA7" s="594"/>
      <c r="AB7" s="594"/>
      <c r="AC7" s="594"/>
      <c r="AD7" s="594"/>
      <c r="AE7" s="594"/>
      <c r="AF7" s="594"/>
      <c r="AG7" s="594"/>
      <c r="AH7" s="594"/>
      <c r="AI7" s="594"/>
      <c r="AJ7" s="594"/>
      <c r="AK7" s="594"/>
      <c r="AL7" s="552"/>
      <c r="AM7" s="594"/>
      <c r="AN7" s="411"/>
      <c r="AO7" s="552"/>
      <c r="AP7" s="552"/>
      <c r="AQ7" s="801">
        <v>0</v>
      </c>
      <c r="AR7" s="798">
        <v>0</v>
      </c>
      <c r="AS7" s="882"/>
      <c r="AT7" s="995">
        <v>0</v>
      </c>
      <c r="AU7" s="999">
        <v>0</v>
      </c>
      <c r="AV7" s="1086">
        <v>0</v>
      </c>
      <c r="AW7" s="1394">
        <v>0</v>
      </c>
      <c r="AX7" s="1394">
        <v>0</v>
      </c>
      <c r="AY7" s="1668">
        <v>0</v>
      </c>
      <c r="AZ7" s="1668">
        <v>0</v>
      </c>
      <c r="BA7" s="1668">
        <v>0</v>
      </c>
      <c r="BB7" s="1600">
        <f>フェロモントラップ野帳!$I$10</f>
        <v>0</v>
      </c>
      <c r="BC7" s="426"/>
    </row>
    <row r="8" spans="1:62" ht="13.5" customHeight="1">
      <c r="A8" s="403"/>
      <c r="B8" s="408"/>
      <c r="C8" s="461" t="s">
        <v>190</v>
      </c>
      <c r="D8" s="482">
        <f t="shared" ca="1" si="1"/>
        <v>0</v>
      </c>
      <c r="E8" s="698"/>
      <c r="F8" s="779">
        <f ca="1">AVERAGE(OFFSET(O8,0,$L$2-1988,1,-10))</f>
        <v>0</v>
      </c>
      <c r="G8" s="699"/>
      <c r="H8" s="735"/>
      <c r="I8" s="736"/>
      <c r="J8" s="712">
        <f t="shared" ref="J8:J12" ca="1" si="2">IF(OR(ISBLANK($H$5),ISBLANK($J$5)),-20,AVERAGE(OFFSET($O8,0,$H$5-1987,1,$J$5-$H$5+1)))</f>
        <v>0</v>
      </c>
      <c r="K8" s="703"/>
      <c r="L8" s="444"/>
      <c r="M8" s="408"/>
      <c r="N8" s="491" t="s">
        <v>301</v>
      </c>
      <c r="O8" s="704"/>
      <c r="P8" s="594"/>
      <c r="Q8" s="594"/>
      <c r="R8" s="594"/>
      <c r="S8" s="594"/>
      <c r="T8" s="594"/>
      <c r="U8" s="594"/>
      <c r="V8" s="594"/>
      <c r="W8" s="594"/>
      <c r="X8" s="594"/>
      <c r="Y8" s="594"/>
      <c r="Z8" s="594"/>
      <c r="AA8" s="594"/>
      <c r="AB8" s="594"/>
      <c r="AC8" s="594"/>
      <c r="AD8" s="594"/>
      <c r="AE8" s="594"/>
      <c r="AF8" s="594"/>
      <c r="AG8" s="594"/>
      <c r="AH8" s="594"/>
      <c r="AI8" s="594"/>
      <c r="AJ8" s="594"/>
      <c r="AK8" s="594"/>
      <c r="AL8" s="552"/>
      <c r="AM8" s="594"/>
      <c r="AN8" s="411"/>
      <c r="AO8" s="552"/>
      <c r="AP8" s="552"/>
      <c r="AQ8" s="802">
        <v>0</v>
      </c>
      <c r="AR8" s="799">
        <v>0</v>
      </c>
      <c r="AS8" s="883">
        <v>0</v>
      </c>
      <c r="AT8" s="996">
        <v>0</v>
      </c>
      <c r="AU8" s="1000">
        <v>0</v>
      </c>
      <c r="AV8" s="1087">
        <v>0</v>
      </c>
      <c r="AW8" s="1395">
        <v>0</v>
      </c>
      <c r="AX8" s="1395">
        <v>0</v>
      </c>
      <c r="AY8" s="1669">
        <v>0</v>
      </c>
      <c r="AZ8" s="1669">
        <v>0</v>
      </c>
      <c r="BA8" s="1669">
        <v>0</v>
      </c>
      <c r="BB8" s="1589">
        <f>フェロモントラップ野帳!$I$15</f>
        <v>0</v>
      </c>
      <c r="BC8" s="426"/>
    </row>
    <row r="9" spans="1:62" ht="13.5" customHeight="1">
      <c r="A9" s="403"/>
      <c r="B9" s="408" t="s">
        <v>191</v>
      </c>
      <c r="C9" s="461" t="s">
        <v>192</v>
      </c>
      <c r="D9" s="482">
        <f t="shared" ca="1" si="1"/>
        <v>0</v>
      </c>
      <c r="E9" s="698"/>
      <c r="F9" s="779">
        <f t="shared" ref="F9:F60" ca="1" si="3">AVERAGE(OFFSET(O9,0,$L$2-1988,1,-10))</f>
        <v>0</v>
      </c>
      <c r="G9" s="699"/>
      <c r="H9" s="700"/>
      <c r="I9" s="701"/>
      <c r="J9" s="712">
        <f t="shared" ca="1" si="2"/>
        <v>0</v>
      </c>
      <c r="K9" s="703"/>
      <c r="L9" s="444"/>
      <c r="M9" s="408" t="s">
        <v>286</v>
      </c>
      <c r="N9" s="491" t="s">
        <v>302</v>
      </c>
      <c r="O9" s="704"/>
      <c r="P9" s="594"/>
      <c r="Q9" s="594"/>
      <c r="R9" s="594"/>
      <c r="S9" s="594"/>
      <c r="T9" s="594"/>
      <c r="U9" s="594"/>
      <c r="V9" s="594"/>
      <c r="W9" s="594"/>
      <c r="X9" s="594"/>
      <c r="Y9" s="594"/>
      <c r="Z9" s="594"/>
      <c r="AA9" s="594"/>
      <c r="AB9" s="594"/>
      <c r="AC9" s="594"/>
      <c r="AD9" s="594"/>
      <c r="AE9" s="594"/>
      <c r="AF9" s="594"/>
      <c r="AG9" s="594"/>
      <c r="AH9" s="594"/>
      <c r="AI9" s="594"/>
      <c r="AJ9" s="594"/>
      <c r="AK9" s="594"/>
      <c r="AL9" s="552"/>
      <c r="AM9" s="594"/>
      <c r="AN9" s="411"/>
      <c r="AO9" s="552"/>
      <c r="AP9" s="552"/>
      <c r="AQ9" s="802">
        <v>0</v>
      </c>
      <c r="AR9" s="799">
        <v>0</v>
      </c>
      <c r="AS9" s="883">
        <v>0</v>
      </c>
      <c r="AT9" s="996">
        <v>0</v>
      </c>
      <c r="AU9" s="1000">
        <v>0</v>
      </c>
      <c r="AV9" s="1087">
        <v>0</v>
      </c>
      <c r="AW9" s="1395">
        <v>0</v>
      </c>
      <c r="AX9" s="1395">
        <v>0</v>
      </c>
      <c r="AY9" s="1669">
        <v>0</v>
      </c>
      <c r="AZ9" s="1669">
        <v>0</v>
      </c>
      <c r="BA9" s="1669">
        <v>0</v>
      </c>
      <c r="BB9" s="1589">
        <f>フェロモントラップ野帳!$I$20</f>
        <v>0</v>
      </c>
      <c r="BC9" s="426"/>
    </row>
    <row r="10" spans="1:62" ht="13.5" customHeight="1">
      <c r="A10" s="403"/>
      <c r="B10" s="408"/>
      <c r="C10" s="461" t="s">
        <v>193</v>
      </c>
      <c r="D10" s="482">
        <f t="shared" ca="1" si="1"/>
        <v>0</v>
      </c>
      <c r="E10" s="698"/>
      <c r="F10" s="779">
        <f t="shared" ca="1" si="3"/>
        <v>7.0999999999999994E-2</v>
      </c>
      <c r="G10" s="699"/>
      <c r="H10" s="735"/>
      <c r="I10" s="736"/>
      <c r="J10" s="712">
        <f t="shared" ca="1" si="2"/>
        <v>0</v>
      </c>
      <c r="K10" s="703"/>
      <c r="L10" s="444"/>
      <c r="M10" s="408"/>
      <c r="N10" s="491" t="s">
        <v>303</v>
      </c>
      <c r="O10" s="704"/>
      <c r="P10" s="594"/>
      <c r="Q10" s="594"/>
      <c r="R10" s="594"/>
      <c r="S10" s="594"/>
      <c r="T10" s="594"/>
      <c r="U10" s="594"/>
      <c r="V10" s="594"/>
      <c r="W10" s="594"/>
      <c r="X10" s="594"/>
      <c r="Y10" s="594"/>
      <c r="Z10" s="594"/>
      <c r="AA10" s="594"/>
      <c r="AB10" s="594"/>
      <c r="AC10" s="594"/>
      <c r="AD10" s="594"/>
      <c r="AE10" s="594"/>
      <c r="AF10" s="594"/>
      <c r="AG10" s="594"/>
      <c r="AH10" s="594"/>
      <c r="AI10" s="594"/>
      <c r="AJ10" s="594"/>
      <c r="AK10" s="594"/>
      <c r="AL10" s="552"/>
      <c r="AM10" s="594"/>
      <c r="AN10" s="411"/>
      <c r="AO10" s="552"/>
      <c r="AP10" s="552"/>
      <c r="AQ10" s="802">
        <v>0</v>
      </c>
      <c r="AR10" s="799">
        <v>0</v>
      </c>
      <c r="AS10" s="883">
        <v>0</v>
      </c>
      <c r="AT10" s="996">
        <v>0</v>
      </c>
      <c r="AU10" s="1000">
        <v>0</v>
      </c>
      <c r="AV10" s="1087">
        <v>0.71</v>
      </c>
      <c r="AW10" s="1395">
        <v>0</v>
      </c>
      <c r="AX10" s="1395">
        <v>0</v>
      </c>
      <c r="AY10" s="1669">
        <v>0</v>
      </c>
      <c r="AZ10" s="1669">
        <v>0</v>
      </c>
      <c r="BA10" s="1669">
        <v>0</v>
      </c>
      <c r="BB10" s="1589">
        <f>フェロモントラップ野帳!$I$25</f>
        <v>0</v>
      </c>
      <c r="BC10" s="426"/>
    </row>
    <row r="11" spans="1:62" ht="13.5" customHeight="1">
      <c r="A11" s="403"/>
      <c r="B11" s="408"/>
      <c r="C11" s="461" t="s">
        <v>194</v>
      </c>
      <c r="D11" s="482">
        <f t="shared" ca="1" si="1"/>
        <v>0</v>
      </c>
      <c r="E11" s="698"/>
      <c r="F11" s="779">
        <f t="shared" ca="1" si="3"/>
        <v>2.8999999999999998E-2</v>
      </c>
      <c r="G11" s="699"/>
      <c r="H11" s="735"/>
      <c r="I11" s="736"/>
      <c r="J11" s="712">
        <f t="shared" ca="1" si="2"/>
        <v>0</v>
      </c>
      <c r="K11" s="703"/>
      <c r="L11" s="444"/>
      <c r="M11" s="408"/>
      <c r="N11" s="491" t="s">
        <v>304</v>
      </c>
      <c r="O11" s="704"/>
      <c r="P11" s="594"/>
      <c r="Q11" s="594"/>
      <c r="R11" s="594"/>
      <c r="S11" s="594"/>
      <c r="T11" s="594"/>
      <c r="U11" s="594"/>
      <c r="V11" s="594"/>
      <c r="W11" s="594"/>
      <c r="X11" s="594"/>
      <c r="Y11" s="594"/>
      <c r="Z11" s="594"/>
      <c r="AA11" s="594"/>
      <c r="AB11" s="594"/>
      <c r="AC11" s="594"/>
      <c r="AD11" s="594"/>
      <c r="AE11" s="594"/>
      <c r="AF11" s="594"/>
      <c r="AG11" s="594"/>
      <c r="AH11" s="594"/>
      <c r="AI11" s="594"/>
      <c r="AJ11" s="594"/>
      <c r="AK11" s="594"/>
      <c r="AL11" s="552"/>
      <c r="AM11" s="594"/>
      <c r="AN11" s="411"/>
      <c r="AO11" s="552"/>
      <c r="AP11" s="552"/>
      <c r="AQ11" s="802">
        <v>0</v>
      </c>
      <c r="AR11" s="799">
        <v>0</v>
      </c>
      <c r="AS11" s="883">
        <v>0</v>
      </c>
      <c r="AT11" s="996">
        <v>0</v>
      </c>
      <c r="AU11" s="1000">
        <v>0</v>
      </c>
      <c r="AV11" s="1087">
        <v>0.28999999999999998</v>
      </c>
      <c r="AW11" s="1395">
        <v>0</v>
      </c>
      <c r="AX11" s="1395">
        <v>0</v>
      </c>
      <c r="AY11" s="1669">
        <v>0</v>
      </c>
      <c r="AZ11" s="1669">
        <v>0</v>
      </c>
      <c r="BA11" s="1669">
        <v>0</v>
      </c>
      <c r="BB11" s="1589">
        <f>フェロモントラップ野帳!$I$30</f>
        <v>0</v>
      </c>
      <c r="BC11" s="426"/>
    </row>
    <row r="12" spans="1:62" ht="13.5" customHeight="1" thickBot="1">
      <c r="A12" s="403"/>
      <c r="B12" s="472"/>
      <c r="C12" s="448" t="s">
        <v>195</v>
      </c>
      <c r="D12" s="541">
        <f t="shared" ca="1" si="1"/>
        <v>9</v>
      </c>
      <c r="E12" s="442"/>
      <c r="F12" s="1608">
        <f t="shared" ca="1" si="3"/>
        <v>0.3</v>
      </c>
      <c r="G12" s="706"/>
      <c r="H12" s="707"/>
      <c r="I12" s="708"/>
      <c r="J12" s="712">
        <f t="shared" ca="1" si="2"/>
        <v>0.4</v>
      </c>
      <c r="K12" s="703"/>
      <c r="L12" s="444"/>
      <c r="M12" s="472"/>
      <c r="N12" s="509" t="s">
        <v>305</v>
      </c>
      <c r="O12" s="704"/>
      <c r="P12" s="594"/>
      <c r="Q12" s="594"/>
      <c r="R12" s="594"/>
      <c r="S12" s="594"/>
      <c r="T12" s="594"/>
      <c r="U12" s="594"/>
      <c r="V12" s="594"/>
      <c r="W12" s="594"/>
      <c r="X12" s="594"/>
      <c r="Y12" s="594"/>
      <c r="Z12" s="594"/>
      <c r="AA12" s="594"/>
      <c r="AB12" s="594"/>
      <c r="AC12" s="594"/>
      <c r="AD12" s="594"/>
      <c r="AE12" s="594"/>
      <c r="AF12" s="594"/>
      <c r="AG12" s="594"/>
      <c r="AH12" s="594"/>
      <c r="AI12" s="594"/>
      <c r="AJ12" s="594"/>
      <c r="AK12" s="594"/>
      <c r="AL12" s="552"/>
      <c r="AM12" s="594"/>
      <c r="AN12" s="411"/>
      <c r="AO12" s="552"/>
      <c r="AP12" s="552"/>
      <c r="AQ12" s="803">
        <v>0</v>
      </c>
      <c r="AR12" s="800">
        <v>0</v>
      </c>
      <c r="AS12" s="884">
        <v>0</v>
      </c>
      <c r="AT12" s="997">
        <v>0</v>
      </c>
      <c r="AU12" s="1001">
        <v>0</v>
      </c>
      <c r="AV12" s="1088">
        <v>1</v>
      </c>
      <c r="AW12" s="1396">
        <v>0</v>
      </c>
      <c r="AX12" s="1396">
        <v>0</v>
      </c>
      <c r="AY12" s="1670">
        <v>2</v>
      </c>
      <c r="AZ12" s="1670">
        <v>0</v>
      </c>
      <c r="BA12" s="1670">
        <v>0</v>
      </c>
      <c r="BB12" s="1590">
        <f>フェロモントラップ野帳!$I$36</f>
        <v>9</v>
      </c>
      <c r="BC12" s="426"/>
      <c r="BD12" s="403"/>
    </row>
    <row r="13" spans="1:62" ht="13.5" customHeight="1">
      <c r="A13" s="403"/>
      <c r="B13" s="408"/>
      <c r="C13" s="450" t="s">
        <v>189</v>
      </c>
      <c r="D13" s="482">
        <f ca="1">IF(ISBLANK($D$5),-20,OFFSET($O13,0,$D$5-1987,1,1))</f>
        <v>17</v>
      </c>
      <c r="E13" s="544"/>
      <c r="F13" s="779">
        <f t="shared" ca="1" si="3"/>
        <v>2.7942857142857145</v>
      </c>
      <c r="G13" s="451"/>
      <c r="H13" s="710"/>
      <c r="I13" s="711"/>
      <c r="J13" s="712">
        <f ca="1">IF(OR(ISBLANK($H$5),ISBLANK($J$5)),-20,AVERAGE(OFFSET($O13,0,$H$5-1987,1,$J$5-$H$5+1)))</f>
        <v>4.8285714285714283</v>
      </c>
      <c r="K13" s="713"/>
      <c r="L13" s="614"/>
      <c r="M13" s="434"/>
      <c r="N13" s="484" t="s">
        <v>300</v>
      </c>
      <c r="O13" s="714">
        <v>0</v>
      </c>
      <c r="P13" s="457">
        <v>0</v>
      </c>
      <c r="Q13" s="457">
        <v>0</v>
      </c>
      <c r="R13" s="457">
        <v>0</v>
      </c>
      <c r="S13" s="457">
        <v>0</v>
      </c>
      <c r="T13" s="457">
        <v>3</v>
      </c>
      <c r="U13" s="457">
        <v>2</v>
      </c>
      <c r="V13" s="457">
        <v>0</v>
      </c>
      <c r="W13" s="457">
        <v>0</v>
      </c>
      <c r="X13" s="457">
        <v>0</v>
      </c>
      <c r="Y13" s="457">
        <v>0</v>
      </c>
      <c r="Z13" s="457">
        <v>0</v>
      </c>
      <c r="AA13" s="457">
        <v>0</v>
      </c>
      <c r="AB13" s="457">
        <v>0</v>
      </c>
      <c r="AC13" s="485">
        <v>0</v>
      </c>
      <c r="AD13" s="485">
        <v>5</v>
      </c>
      <c r="AE13" s="485">
        <v>0</v>
      </c>
      <c r="AF13" s="485">
        <v>0</v>
      </c>
      <c r="AG13" s="485">
        <v>0</v>
      </c>
      <c r="AH13" s="485">
        <v>0</v>
      </c>
      <c r="AI13" s="485">
        <v>2</v>
      </c>
      <c r="AJ13" s="485">
        <v>0</v>
      </c>
      <c r="AK13" s="485">
        <v>0</v>
      </c>
      <c r="AL13" s="486">
        <v>1</v>
      </c>
      <c r="AM13" s="485">
        <v>0</v>
      </c>
      <c r="AN13" s="487">
        <v>0</v>
      </c>
      <c r="AO13" s="486">
        <v>0</v>
      </c>
      <c r="AP13" s="486">
        <v>1</v>
      </c>
      <c r="AQ13" s="486">
        <v>0</v>
      </c>
      <c r="AR13" s="486">
        <v>0</v>
      </c>
      <c r="AS13" s="881">
        <v>0</v>
      </c>
      <c r="AT13" s="947">
        <v>0</v>
      </c>
      <c r="AU13" s="956">
        <v>3.8</v>
      </c>
      <c r="AV13" s="1077">
        <v>0</v>
      </c>
      <c r="AW13" s="1376">
        <v>9</v>
      </c>
      <c r="AX13" s="1376">
        <v>0</v>
      </c>
      <c r="AY13" s="1671">
        <v>13</v>
      </c>
      <c r="AZ13" s="1671">
        <v>2.1428571428571428</v>
      </c>
      <c r="BA13" s="1671">
        <v>0</v>
      </c>
      <c r="BB13" s="1591">
        <f>フェロモントラップ野帳!$I$50</f>
        <v>17</v>
      </c>
      <c r="BC13" s="426"/>
      <c r="BD13" s="403"/>
    </row>
    <row r="14" spans="1:62" ht="13.5" customHeight="1">
      <c r="A14" s="403"/>
      <c r="B14" s="408"/>
      <c r="C14" s="461" t="s">
        <v>190</v>
      </c>
      <c r="D14" s="482">
        <f t="shared" ca="1" si="1"/>
        <v>10</v>
      </c>
      <c r="E14" s="547"/>
      <c r="F14" s="779">
        <f t="shared" ca="1" si="3"/>
        <v>3.78</v>
      </c>
      <c r="G14" s="462"/>
      <c r="H14" s="463"/>
      <c r="I14" s="464"/>
      <c r="J14" s="465">
        <f t="shared" ref="J14:J60" ca="1" si="4">IF(OR(ISBLANK($H$5),ISBLANK($J$5)),-20,AVERAGE(OFFSET($O14,0,$H$5-1987,1,$J$5-$H$5+1)))</f>
        <v>6.4599999999999991</v>
      </c>
      <c r="K14" s="715"/>
      <c r="L14" s="614"/>
      <c r="M14" s="490"/>
      <c r="N14" s="491" t="s">
        <v>301</v>
      </c>
      <c r="O14" s="716">
        <v>6</v>
      </c>
      <c r="P14" s="467">
        <v>0</v>
      </c>
      <c r="Q14" s="467">
        <v>0</v>
      </c>
      <c r="R14" s="467">
        <v>0</v>
      </c>
      <c r="S14" s="467">
        <v>1</v>
      </c>
      <c r="T14" s="467">
        <v>5</v>
      </c>
      <c r="U14" s="467">
        <v>0</v>
      </c>
      <c r="V14" s="467">
        <v>0</v>
      </c>
      <c r="W14" s="467">
        <v>0</v>
      </c>
      <c r="X14" s="467">
        <v>0</v>
      </c>
      <c r="Y14" s="467">
        <v>5</v>
      </c>
      <c r="Z14" s="467">
        <v>8</v>
      </c>
      <c r="AA14" s="467">
        <v>0</v>
      </c>
      <c r="AB14" s="467">
        <v>0</v>
      </c>
      <c r="AC14" s="492">
        <v>0</v>
      </c>
      <c r="AD14" s="492">
        <v>15</v>
      </c>
      <c r="AE14" s="492">
        <v>0</v>
      </c>
      <c r="AF14" s="492">
        <v>0</v>
      </c>
      <c r="AG14" s="492">
        <v>1</v>
      </c>
      <c r="AH14" s="492">
        <v>0</v>
      </c>
      <c r="AI14" s="492">
        <v>6</v>
      </c>
      <c r="AJ14" s="492">
        <v>2</v>
      </c>
      <c r="AK14" s="492">
        <v>3</v>
      </c>
      <c r="AL14" s="493">
        <v>2</v>
      </c>
      <c r="AM14" s="492">
        <v>1</v>
      </c>
      <c r="AN14" s="494">
        <v>0</v>
      </c>
      <c r="AO14" s="493">
        <v>2</v>
      </c>
      <c r="AP14" s="493">
        <v>0</v>
      </c>
      <c r="AQ14" s="493">
        <v>1</v>
      </c>
      <c r="AR14" s="493">
        <v>1.7</v>
      </c>
      <c r="AS14" s="877">
        <v>0.5</v>
      </c>
      <c r="AT14" s="948">
        <v>1</v>
      </c>
      <c r="AU14" s="957">
        <v>2.2999999999999998</v>
      </c>
      <c r="AV14" s="1078">
        <v>0</v>
      </c>
      <c r="AW14" s="1377">
        <v>3.3</v>
      </c>
      <c r="AX14" s="1377">
        <v>5</v>
      </c>
      <c r="AY14" s="1672">
        <v>12</v>
      </c>
      <c r="AZ14" s="1672">
        <v>9</v>
      </c>
      <c r="BA14" s="1672">
        <v>3</v>
      </c>
      <c r="BB14" s="1592">
        <f>フェロモントラップ野帳!$I$55</f>
        <v>10</v>
      </c>
      <c r="BC14" s="426"/>
      <c r="BD14" s="403"/>
    </row>
    <row r="15" spans="1:62" ht="13.5" customHeight="1">
      <c r="A15" s="403"/>
      <c r="B15" s="408" t="s">
        <v>196</v>
      </c>
      <c r="C15" s="461" t="s">
        <v>192</v>
      </c>
      <c r="D15" s="482">
        <f t="shared" ca="1" si="1"/>
        <v>28.333333333333332</v>
      </c>
      <c r="E15" s="547"/>
      <c r="F15" s="779">
        <f t="shared" ca="1" si="3"/>
        <v>8.5466666666666669</v>
      </c>
      <c r="G15" s="462"/>
      <c r="H15" s="463"/>
      <c r="I15" s="464"/>
      <c r="J15" s="465">
        <f t="shared" ca="1" si="4"/>
        <v>13.473333333333334</v>
      </c>
      <c r="K15" s="715"/>
      <c r="L15" s="614"/>
      <c r="M15" s="490" t="s">
        <v>287</v>
      </c>
      <c r="N15" s="491" t="s">
        <v>302</v>
      </c>
      <c r="O15" s="716">
        <v>9</v>
      </c>
      <c r="P15" s="467">
        <v>1</v>
      </c>
      <c r="Q15" s="467">
        <v>40</v>
      </c>
      <c r="R15" s="467">
        <v>3</v>
      </c>
      <c r="S15" s="467">
        <v>64</v>
      </c>
      <c r="T15" s="467">
        <v>1</v>
      </c>
      <c r="U15" s="467">
        <v>3</v>
      </c>
      <c r="V15" s="467">
        <v>4</v>
      </c>
      <c r="W15" s="467">
        <v>0</v>
      </c>
      <c r="X15" s="467">
        <v>0</v>
      </c>
      <c r="Y15" s="467">
        <v>4</v>
      </c>
      <c r="Z15" s="467">
        <v>5</v>
      </c>
      <c r="AA15" s="467">
        <v>4</v>
      </c>
      <c r="AB15" s="467">
        <v>0</v>
      </c>
      <c r="AC15" s="492">
        <v>5</v>
      </c>
      <c r="AD15" s="492">
        <v>3</v>
      </c>
      <c r="AE15" s="492">
        <v>0</v>
      </c>
      <c r="AF15" s="492">
        <v>4</v>
      </c>
      <c r="AG15" s="492">
        <v>6</v>
      </c>
      <c r="AH15" s="492">
        <v>1</v>
      </c>
      <c r="AI15" s="492">
        <v>17</v>
      </c>
      <c r="AJ15" s="492">
        <v>3</v>
      </c>
      <c r="AK15" s="492">
        <v>5</v>
      </c>
      <c r="AL15" s="493">
        <v>5</v>
      </c>
      <c r="AM15" s="492">
        <v>3</v>
      </c>
      <c r="AN15" s="494">
        <v>2</v>
      </c>
      <c r="AO15" s="493">
        <v>8</v>
      </c>
      <c r="AP15" s="493">
        <v>3</v>
      </c>
      <c r="AQ15" s="493">
        <v>1</v>
      </c>
      <c r="AR15" s="493">
        <v>2.2999999999999998</v>
      </c>
      <c r="AS15" s="877">
        <v>1.8</v>
      </c>
      <c r="AT15" s="948">
        <v>2</v>
      </c>
      <c r="AU15" s="957">
        <v>12</v>
      </c>
      <c r="AV15" s="1078">
        <v>0</v>
      </c>
      <c r="AW15" s="1377">
        <v>7.7</v>
      </c>
      <c r="AX15" s="1377">
        <v>18</v>
      </c>
      <c r="AY15" s="1672">
        <v>11.666666666666668</v>
      </c>
      <c r="AZ15" s="1672">
        <v>29</v>
      </c>
      <c r="BA15" s="1672">
        <v>1</v>
      </c>
      <c r="BB15" s="1592">
        <f>フェロモントラップ野帳!$I$60</f>
        <v>28.333333333333332</v>
      </c>
      <c r="BC15" s="1163"/>
      <c r="BD15" s="1163"/>
      <c r="BE15" s="1163"/>
      <c r="BF15" s="1163"/>
      <c r="BG15" s="1163"/>
      <c r="BH15" s="1163"/>
      <c r="BI15" s="1163"/>
      <c r="BJ15" s="912"/>
    </row>
    <row r="16" spans="1:62" ht="13.5" customHeight="1">
      <c r="A16" s="403"/>
      <c r="B16" s="408"/>
      <c r="C16" s="461" t="s">
        <v>193</v>
      </c>
      <c r="D16" s="482">
        <f t="shared" ca="1" si="1"/>
        <v>2</v>
      </c>
      <c r="E16" s="547"/>
      <c r="F16" s="779">
        <f t="shared" ca="1" si="3"/>
        <v>9.5166666666666675</v>
      </c>
      <c r="G16" s="462"/>
      <c r="H16" s="463"/>
      <c r="I16" s="464"/>
      <c r="J16" s="465">
        <f t="shared" ca="1" si="4"/>
        <v>9.3333333333333339</v>
      </c>
      <c r="K16" s="715"/>
      <c r="L16" s="614"/>
      <c r="M16" s="490"/>
      <c r="N16" s="491" t="s">
        <v>303</v>
      </c>
      <c r="O16" s="716">
        <v>4</v>
      </c>
      <c r="P16" s="467">
        <v>12</v>
      </c>
      <c r="Q16" s="467">
        <v>55</v>
      </c>
      <c r="R16" s="467">
        <v>5</v>
      </c>
      <c r="S16" s="467">
        <v>79</v>
      </c>
      <c r="T16" s="467">
        <v>5</v>
      </c>
      <c r="U16" s="467">
        <v>12</v>
      </c>
      <c r="V16" s="467">
        <v>3</v>
      </c>
      <c r="W16" s="467">
        <v>2</v>
      </c>
      <c r="X16" s="467">
        <v>0</v>
      </c>
      <c r="Y16" s="467">
        <v>20</v>
      </c>
      <c r="Z16" s="467">
        <v>11</v>
      </c>
      <c r="AA16" s="467">
        <v>3</v>
      </c>
      <c r="AB16" s="467">
        <v>0</v>
      </c>
      <c r="AC16" s="492">
        <v>26</v>
      </c>
      <c r="AD16" s="492">
        <v>14</v>
      </c>
      <c r="AE16" s="492">
        <v>0</v>
      </c>
      <c r="AF16" s="500">
        <v>10</v>
      </c>
      <c r="AG16" s="500">
        <v>25</v>
      </c>
      <c r="AH16" s="500">
        <v>1</v>
      </c>
      <c r="AI16" s="500">
        <v>12</v>
      </c>
      <c r="AJ16" s="500">
        <v>9</v>
      </c>
      <c r="AK16" s="500">
        <v>6</v>
      </c>
      <c r="AL16" s="501">
        <v>10</v>
      </c>
      <c r="AM16" s="500">
        <v>3</v>
      </c>
      <c r="AN16" s="502">
        <v>19</v>
      </c>
      <c r="AO16" s="501">
        <v>0</v>
      </c>
      <c r="AP16" s="501">
        <v>7.3</v>
      </c>
      <c r="AQ16" s="501">
        <v>4</v>
      </c>
      <c r="AR16" s="493">
        <v>0.8</v>
      </c>
      <c r="AS16" s="877">
        <v>11.7</v>
      </c>
      <c r="AT16" s="948">
        <v>0</v>
      </c>
      <c r="AU16" s="957">
        <v>20</v>
      </c>
      <c r="AV16" s="1078">
        <v>16</v>
      </c>
      <c r="AW16" s="1377">
        <v>2</v>
      </c>
      <c r="AX16" s="1377">
        <v>7</v>
      </c>
      <c r="AY16" s="1672">
        <v>9</v>
      </c>
      <c r="AZ16" s="1672">
        <v>11.666666666666668</v>
      </c>
      <c r="BA16" s="1672">
        <v>17</v>
      </c>
      <c r="BB16" s="1592">
        <f>フェロモントラップ野帳!$I$65</f>
        <v>2</v>
      </c>
      <c r="BC16" s="499"/>
      <c r="BD16" s="403"/>
    </row>
    <row r="17" spans="1:63" ht="13.5" customHeight="1">
      <c r="A17" s="403"/>
      <c r="B17" s="408"/>
      <c r="C17" s="461" t="s">
        <v>194</v>
      </c>
      <c r="D17" s="482">
        <f t="shared" ca="1" si="1"/>
        <v>1.6666666666666667</v>
      </c>
      <c r="E17" s="547"/>
      <c r="F17" s="779">
        <f t="shared" ca="1" si="3"/>
        <v>7.0544285714285708</v>
      </c>
      <c r="G17" s="462"/>
      <c r="H17" s="463"/>
      <c r="I17" s="464"/>
      <c r="J17" s="465">
        <f t="shared" ca="1" si="4"/>
        <v>7.7428571428571429</v>
      </c>
      <c r="K17" s="715"/>
      <c r="L17" s="614"/>
      <c r="M17" s="490"/>
      <c r="N17" s="491" t="s">
        <v>304</v>
      </c>
      <c r="O17" s="716">
        <v>9</v>
      </c>
      <c r="P17" s="467">
        <v>3</v>
      </c>
      <c r="Q17" s="467">
        <v>23</v>
      </c>
      <c r="R17" s="467">
        <v>3</v>
      </c>
      <c r="S17" s="467">
        <v>33</v>
      </c>
      <c r="T17" s="467">
        <v>8</v>
      </c>
      <c r="U17" s="467">
        <v>35</v>
      </c>
      <c r="V17" s="467">
        <v>28</v>
      </c>
      <c r="W17" s="467">
        <v>10</v>
      </c>
      <c r="X17" s="467">
        <v>0</v>
      </c>
      <c r="Y17" s="467">
        <v>17</v>
      </c>
      <c r="Z17" s="467">
        <v>6</v>
      </c>
      <c r="AA17" s="467">
        <v>13</v>
      </c>
      <c r="AB17" s="467">
        <v>2</v>
      </c>
      <c r="AC17" s="492">
        <v>3</v>
      </c>
      <c r="AD17" s="492">
        <v>16</v>
      </c>
      <c r="AE17" s="492">
        <v>0</v>
      </c>
      <c r="AF17" s="492">
        <v>7</v>
      </c>
      <c r="AG17" s="492">
        <v>23</v>
      </c>
      <c r="AH17" s="492">
        <v>5</v>
      </c>
      <c r="AI17" s="492">
        <v>26</v>
      </c>
      <c r="AJ17" s="492">
        <v>13</v>
      </c>
      <c r="AK17" s="492">
        <v>5</v>
      </c>
      <c r="AL17" s="493">
        <v>14</v>
      </c>
      <c r="AM17" s="492">
        <v>3</v>
      </c>
      <c r="AN17" s="494">
        <v>13</v>
      </c>
      <c r="AO17" s="493">
        <v>4</v>
      </c>
      <c r="AP17" s="493">
        <v>0.6</v>
      </c>
      <c r="AQ17" s="493">
        <v>12.856999999999999</v>
      </c>
      <c r="AR17" s="493">
        <v>2</v>
      </c>
      <c r="AS17" s="877">
        <v>7</v>
      </c>
      <c r="AT17" s="948">
        <v>0</v>
      </c>
      <c r="AU17" s="957">
        <v>17</v>
      </c>
      <c r="AV17" s="1078">
        <v>5.83</v>
      </c>
      <c r="AW17" s="1377">
        <v>4</v>
      </c>
      <c r="AX17" s="1377">
        <v>9</v>
      </c>
      <c r="AY17" s="1672">
        <v>1</v>
      </c>
      <c r="AZ17" s="1672">
        <v>9</v>
      </c>
      <c r="BA17" s="1672">
        <v>15.714285714285714</v>
      </c>
      <c r="BB17" s="1592">
        <f>フェロモントラップ野帳!$I$70</f>
        <v>1.6666666666666667</v>
      </c>
      <c r="BC17" s="505"/>
      <c r="BD17" s="403"/>
    </row>
    <row r="18" spans="1:63" ht="13.5" customHeight="1" thickBot="1">
      <c r="A18" s="403"/>
      <c r="B18" s="472"/>
      <c r="C18" s="448" t="s">
        <v>195</v>
      </c>
      <c r="D18" s="506">
        <f t="shared" ca="1" si="1"/>
        <v>2.5</v>
      </c>
      <c r="E18" s="549"/>
      <c r="F18" s="1607">
        <f t="shared" ca="1" si="3"/>
        <v>3.4295</v>
      </c>
      <c r="G18" s="473"/>
      <c r="H18" s="474"/>
      <c r="I18" s="475"/>
      <c r="J18" s="476">
        <f t="shared" ca="1" si="4"/>
        <v>3.8250000000000002</v>
      </c>
      <c r="K18" s="717"/>
      <c r="L18" s="614"/>
      <c r="M18" s="508"/>
      <c r="N18" s="509" t="s">
        <v>305</v>
      </c>
      <c r="O18" s="718">
        <v>7</v>
      </c>
      <c r="P18" s="478">
        <v>16</v>
      </c>
      <c r="Q18" s="478">
        <v>6</v>
      </c>
      <c r="R18" s="478">
        <v>58</v>
      </c>
      <c r="S18" s="478">
        <v>99</v>
      </c>
      <c r="T18" s="478">
        <v>7</v>
      </c>
      <c r="U18" s="478">
        <v>30</v>
      </c>
      <c r="V18" s="478">
        <v>5</v>
      </c>
      <c r="W18" s="478">
        <v>7</v>
      </c>
      <c r="X18" s="478">
        <v>0</v>
      </c>
      <c r="Y18" s="478">
        <v>7</v>
      </c>
      <c r="Z18" s="478">
        <v>10</v>
      </c>
      <c r="AA18" s="478">
        <v>14</v>
      </c>
      <c r="AB18" s="478">
        <v>6</v>
      </c>
      <c r="AC18" s="510">
        <v>22</v>
      </c>
      <c r="AD18" s="510">
        <v>10</v>
      </c>
      <c r="AE18" s="510">
        <v>0</v>
      </c>
      <c r="AF18" s="510">
        <v>4</v>
      </c>
      <c r="AG18" s="510">
        <v>17</v>
      </c>
      <c r="AH18" s="510">
        <v>5</v>
      </c>
      <c r="AI18" s="510">
        <v>3</v>
      </c>
      <c r="AJ18" s="510">
        <v>10</v>
      </c>
      <c r="AK18" s="510">
        <v>5</v>
      </c>
      <c r="AL18" s="511">
        <v>12</v>
      </c>
      <c r="AM18" s="510">
        <v>3</v>
      </c>
      <c r="AN18" s="512">
        <v>35</v>
      </c>
      <c r="AO18" s="511">
        <v>4</v>
      </c>
      <c r="AP18" s="511">
        <v>1</v>
      </c>
      <c r="AQ18" s="511">
        <v>7.14</v>
      </c>
      <c r="AR18" s="501">
        <v>8</v>
      </c>
      <c r="AS18" s="880">
        <v>5</v>
      </c>
      <c r="AT18" s="949">
        <v>0</v>
      </c>
      <c r="AU18" s="958">
        <v>1</v>
      </c>
      <c r="AV18" s="1079">
        <v>1.17</v>
      </c>
      <c r="AW18" s="1378">
        <v>3</v>
      </c>
      <c r="AX18" s="1378">
        <v>2</v>
      </c>
      <c r="AY18" s="1673">
        <v>2</v>
      </c>
      <c r="AZ18" s="1673">
        <v>4</v>
      </c>
      <c r="BA18" s="1673">
        <v>8.125</v>
      </c>
      <c r="BB18" s="1593">
        <f>フェロモントラップ野帳!$I$76</f>
        <v>2.5</v>
      </c>
    </row>
    <row r="19" spans="1:63" ht="13.5" customHeight="1">
      <c r="A19" s="403"/>
      <c r="B19" s="407"/>
      <c r="C19" s="450" t="s">
        <v>189</v>
      </c>
      <c r="D19" s="482">
        <f t="shared" ca="1" si="1"/>
        <v>0.83333333333333337</v>
      </c>
      <c r="E19" s="547"/>
      <c r="F19" s="1606">
        <f t="shared" ca="1" si="3"/>
        <v>13.771428571428572</v>
      </c>
      <c r="G19" s="462"/>
      <c r="H19" s="452"/>
      <c r="I19" s="453"/>
      <c r="J19" s="454">
        <f t="shared" ca="1" si="4"/>
        <v>7.3428571428571434</v>
      </c>
      <c r="K19" s="715"/>
      <c r="L19" s="614"/>
      <c r="M19" s="434"/>
      <c r="N19" s="484" t="s">
        <v>300</v>
      </c>
      <c r="O19" s="720">
        <v>5</v>
      </c>
      <c r="P19" s="517">
        <v>42</v>
      </c>
      <c r="Q19" s="517">
        <v>26</v>
      </c>
      <c r="R19" s="517">
        <v>15</v>
      </c>
      <c r="S19" s="517">
        <v>18</v>
      </c>
      <c r="T19" s="517">
        <v>7</v>
      </c>
      <c r="U19" s="517">
        <v>17</v>
      </c>
      <c r="V19" s="517">
        <v>19</v>
      </c>
      <c r="W19" s="517">
        <v>73</v>
      </c>
      <c r="X19" s="517">
        <v>12</v>
      </c>
      <c r="Y19" s="517">
        <v>11</v>
      </c>
      <c r="Z19" s="517">
        <v>1</v>
      </c>
      <c r="AA19" s="517">
        <v>6</v>
      </c>
      <c r="AB19" s="517">
        <v>1</v>
      </c>
      <c r="AC19" s="518">
        <v>30</v>
      </c>
      <c r="AD19" s="518">
        <v>3</v>
      </c>
      <c r="AE19" s="518">
        <v>0</v>
      </c>
      <c r="AF19" s="518">
        <v>4</v>
      </c>
      <c r="AG19" s="518">
        <v>17</v>
      </c>
      <c r="AH19" s="518">
        <v>24</v>
      </c>
      <c r="AI19" s="518">
        <v>14</v>
      </c>
      <c r="AJ19" s="518">
        <v>12</v>
      </c>
      <c r="AK19" s="518">
        <v>6</v>
      </c>
      <c r="AL19" s="519">
        <v>12</v>
      </c>
      <c r="AM19" s="518">
        <v>5</v>
      </c>
      <c r="AN19" s="520">
        <v>44</v>
      </c>
      <c r="AO19" s="519">
        <v>1</v>
      </c>
      <c r="AP19" s="519">
        <v>0</v>
      </c>
      <c r="AQ19" s="519">
        <v>0</v>
      </c>
      <c r="AR19" s="486">
        <v>41</v>
      </c>
      <c r="AS19" s="881">
        <v>0</v>
      </c>
      <c r="AT19" s="947">
        <v>7</v>
      </c>
      <c r="AU19" s="956">
        <v>37</v>
      </c>
      <c r="AV19" s="1077">
        <v>16</v>
      </c>
      <c r="AW19" s="1376">
        <v>2</v>
      </c>
      <c r="AX19" s="1376">
        <v>3</v>
      </c>
      <c r="AY19" s="1671">
        <v>21</v>
      </c>
      <c r="AZ19" s="1671">
        <v>7.1428571428571432</v>
      </c>
      <c r="BA19" s="1671">
        <v>3.5714285714285716</v>
      </c>
      <c r="BB19" s="1591">
        <f>フェロモントラップ野帳!$I$90</f>
        <v>0.83333333333333337</v>
      </c>
    </row>
    <row r="20" spans="1:63" ht="13.5" customHeight="1">
      <c r="A20" s="403"/>
      <c r="B20" s="408"/>
      <c r="C20" s="461" t="s">
        <v>190</v>
      </c>
      <c r="D20" s="482">
        <f t="shared" ca="1" si="1"/>
        <v>0</v>
      </c>
      <c r="E20" s="547"/>
      <c r="F20" s="779">
        <f t="shared" ca="1" si="3"/>
        <v>13.716666666666665</v>
      </c>
      <c r="G20" s="462"/>
      <c r="H20" s="463"/>
      <c r="I20" s="464"/>
      <c r="J20" s="465">
        <f t="shared" ca="1" si="4"/>
        <v>16.433333333333334</v>
      </c>
      <c r="K20" s="715"/>
      <c r="L20" s="614"/>
      <c r="M20" s="490"/>
      <c r="N20" s="491" t="s">
        <v>301</v>
      </c>
      <c r="O20" s="716">
        <v>28</v>
      </c>
      <c r="P20" s="467">
        <v>40</v>
      </c>
      <c r="Q20" s="467">
        <v>59</v>
      </c>
      <c r="R20" s="467">
        <v>34</v>
      </c>
      <c r="S20" s="467">
        <v>40</v>
      </c>
      <c r="T20" s="467">
        <v>9</v>
      </c>
      <c r="U20" s="467">
        <v>66</v>
      </c>
      <c r="V20" s="467">
        <v>8</v>
      </c>
      <c r="W20" s="467">
        <v>39</v>
      </c>
      <c r="X20" s="467">
        <v>2</v>
      </c>
      <c r="Y20" s="467">
        <v>0</v>
      </c>
      <c r="Z20" s="467">
        <v>2</v>
      </c>
      <c r="AA20" s="467">
        <v>9</v>
      </c>
      <c r="AB20" s="467">
        <v>0</v>
      </c>
      <c r="AC20" s="492">
        <v>24</v>
      </c>
      <c r="AD20" s="492">
        <v>5</v>
      </c>
      <c r="AE20" s="492">
        <v>0</v>
      </c>
      <c r="AF20" s="492">
        <v>31</v>
      </c>
      <c r="AG20" s="492">
        <v>14</v>
      </c>
      <c r="AH20" s="492">
        <v>21</v>
      </c>
      <c r="AI20" s="492">
        <v>30</v>
      </c>
      <c r="AJ20" s="492">
        <v>11</v>
      </c>
      <c r="AK20" s="492">
        <v>12</v>
      </c>
      <c r="AL20" s="493">
        <v>18</v>
      </c>
      <c r="AM20" s="492">
        <v>17</v>
      </c>
      <c r="AN20" s="494">
        <v>20</v>
      </c>
      <c r="AO20" s="493">
        <v>13</v>
      </c>
      <c r="AP20" s="493">
        <v>1</v>
      </c>
      <c r="AQ20" s="493">
        <v>2</v>
      </c>
      <c r="AR20" s="493">
        <v>24</v>
      </c>
      <c r="AS20" s="877">
        <v>2</v>
      </c>
      <c r="AT20" s="948">
        <v>16</v>
      </c>
      <c r="AU20" s="957">
        <v>6</v>
      </c>
      <c r="AV20" s="1078">
        <v>7</v>
      </c>
      <c r="AW20" s="1377">
        <v>6</v>
      </c>
      <c r="AX20" s="1377">
        <v>15</v>
      </c>
      <c r="AY20" s="1672">
        <v>32</v>
      </c>
      <c r="AZ20" s="1672">
        <v>20</v>
      </c>
      <c r="BA20" s="1672">
        <v>9.1666666666666661</v>
      </c>
      <c r="BB20" s="1592">
        <f>フェロモントラップ野帳!$I$95</f>
        <v>0</v>
      </c>
    </row>
    <row r="21" spans="1:63" ht="13.5" customHeight="1">
      <c r="A21" s="403"/>
      <c r="B21" s="408" t="s">
        <v>197</v>
      </c>
      <c r="C21" s="461" t="s">
        <v>192</v>
      </c>
      <c r="D21" s="482">
        <f t="shared" ca="1" si="1"/>
        <v>0</v>
      </c>
      <c r="E21" s="547"/>
      <c r="F21" s="779">
        <f t="shared" ca="1" si="3"/>
        <v>12.686</v>
      </c>
      <c r="G21" s="462"/>
      <c r="H21" s="463"/>
      <c r="I21" s="464"/>
      <c r="J21" s="465">
        <f t="shared" ca="1" si="4"/>
        <v>14.8</v>
      </c>
      <c r="K21" s="715"/>
      <c r="L21" s="614"/>
      <c r="M21" s="490" t="s">
        <v>197</v>
      </c>
      <c r="N21" s="491" t="s">
        <v>302</v>
      </c>
      <c r="O21" s="716">
        <v>116</v>
      </c>
      <c r="P21" s="467">
        <v>35</v>
      </c>
      <c r="Q21" s="467">
        <v>72</v>
      </c>
      <c r="R21" s="467">
        <v>50</v>
      </c>
      <c r="S21" s="467">
        <v>79</v>
      </c>
      <c r="T21" s="467">
        <v>7</v>
      </c>
      <c r="U21" s="467">
        <v>14</v>
      </c>
      <c r="V21" s="467">
        <v>33</v>
      </c>
      <c r="W21" s="467">
        <v>14</v>
      </c>
      <c r="X21" s="467">
        <v>2</v>
      </c>
      <c r="Y21" s="467">
        <v>3</v>
      </c>
      <c r="Z21" s="467">
        <v>3</v>
      </c>
      <c r="AA21" s="467">
        <v>1</v>
      </c>
      <c r="AB21" s="467">
        <v>2</v>
      </c>
      <c r="AC21" s="492">
        <v>21</v>
      </c>
      <c r="AD21" s="492">
        <v>12</v>
      </c>
      <c r="AE21" s="492">
        <v>0</v>
      </c>
      <c r="AF21" s="492">
        <v>25</v>
      </c>
      <c r="AG21" s="492">
        <v>12</v>
      </c>
      <c r="AH21" s="492">
        <v>11</v>
      </c>
      <c r="AI21" s="492">
        <v>4</v>
      </c>
      <c r="AJ21" s="492">
        <v>17</v>
      </c>
      <c r="AK21" s="492">
        <v>21</v>
      </c>
      <c r="AL21" s="493">
        <v>2</v>
      </c>
      <c r="AM21" s="492">
        <v>2</v>
      </c>
      <c r="AN21" s="494">
        <v>6</v>
      </c>
      <c r="AO21" s="493">
        <v>13</v>
      </c>
      <c r="AP21" s="493">
        <v>9</v>
      </c>
      <c r="AQ21" s="493">
        <v>24</v>
      </c>
      <c r="AR21" s="493">
        <v>13</v>
      </c>
      <c r="AS21" s="877">
        <v>13</v>
      </c>
      <c r="AT21" s="948">
        <v>12</v>
      </c>
      <c r="AU21" s="957">
        <v>12</v>
      </c>
      <c r="AV21" s="1078">
        <v>2.86</v>
      </c>
      <c r="AW21" s="1377">
        <v>10</v>
      </c>
      <c r="AX21" s="1377">
        <v>25</v>
      </c>
      <c r="AY21" s="1672">
        <v>9</v>
      </c>
      <c r="AZ21" s="1672">
        <v>17</v>
      </c>
      <c r="BA21" s="1672">
        <v>13</v>
      </c>
      <c r="BB21" s="1592">
        <f>フェロモントラップ野帳!$I$100</f>
        <v>0</v>
      </c>
      <c r="BC21" s="1163"/>
      <c r="BD21" s="1163"/>
      <c r="BE21" s="1163"/>
      <c r="BF21" s="1163"/>
      <c r="BG21" s="1163"/>
      <c r="BH21" s="1163"/>
      <c r="BI21" s="1163"/>
    </row>
    <row r="22" spans="1:63" ht="13.5" customHeight="1">
      <c r="A22" s="403"/>
      <c r="B22" s="408"/>
      <c r="C22" s="461" t="s">
        <v>193</v>
      </c>
      <c r="D22" s="482">
        <f t="shared" ca="1" si="1"/>
        <v>1.6666666666666667</v>
      </c>
      <c r="E22" s="547"/>
      <c r="F22" s="779">
        <f t="shared" ca="1" si="3"/>
        <v>12.644</v>
      </c>
      <c r="G22" s="462"/>
      <c r="H22" s="463"/>
      <c r="I22" s="464"/>
      <c r="J22" s="465">
        <f t="shared" ca="1" si="4"/>
        <v>12</v>
      </c>
      <c r="K22" s="715"/>
      <c r="L22" s="614"/>
      <c r="M22" s="490"/>
      <c r="N22" s="491" t="s">
        <v>303</v>
      </c>
      <c r="O22" s="716">
        <v>99</v>
      </c>
      <c r="P22" s="467">
        <v>65</v>
      </c>
      <c r="Q22" s="467">
        <v>27</v>
      </c>
      <c r="R22" s="467">
        <v>5</v>
      </c>
      <c r="S22" s="467">
        <v>87</v>
      </c>
      <c r="T22" s="467">
        <v>7</v>
      </c>
      <c r="U22" s="467">
        <v>27</v>
      </c>
      <c r="V22" s="467">
        <v>82</v>
      </c>
      <c r="W22" s="467">
        <v>27</v>
      </c>
      <c r="X22" s="467">
        <v>0</v>
      </c>
      <c r="Y22" s="467">
        <v>4</v>
      </c>
      <c r="Z22" s="467">
        <v>5</v>
      </c>
      <c r="AA22" s="467">
        <v>4</v>
      </c>
      <c r="AB22" s="467">
        <v>1</v>
      </c>
      <c r="AC22" s="492">
        <v>20</v>
      </c>
      <c r="AD22" s="492">
        <v>17</v>
      </c>
      <c r="AE22" s="492">
        <v>0</v>
      </c>
      <c r="AF22" s="492">
        <v>6</v>
      </c>
      <c r="AG22" s="492">
        <v>17</v>
      </c>
      <c r="AH22" s="492">
        <v>27</v>
      </c>
      <c r="AI22" s="492">
        <v>16</v>
      </c>
      <c r="AJ22" s="492">
        <v>28</v>
      </c>
      <c r="AK22" s="492">
        <v>33</v>
      </c>
      <c r="AL22" s="493">
        <v>3</v>
      </c>
      <c r="AM22" s="492">
        <v>3</v>
      </c>
      <c r="AN22" s="494">
        <v>6</v>
      </c>
      <c r="AO22" s="493">
        <v>2</v>
      </c>
      <c r="AP22" s="493">
        <v>0</v>
      </c>
      <c r="AQ22" s="493">
        <v>9</v>
      </c>
      <c r="AR22" s="493">
        <v>6.5</v>
      </c>
      <c r="AS22" s="877">
        <v>20.8</v>
      </c>
      <c r="AT22" s="948">
        <v>2</v>
      </c>
      <c r="AU22" s="957">
        <v>35</v>
      </c>
      <c r="AV22" s="1078">
        <v>2.14</v>
      </c>
      <c r="AW22" s="1377">
        <v>6</v>
      </c>
      <c r="AX22" s="1377">
        <v>18</v>
      </c>
      <c r="AY22" s="1672">
        <v>11</v>
      </c>
      <c r="AZ22" s="1672">
        <v>6</v>
      </c>
      <c r="BA22" s="1672">
        <v>19</v>
      </c>
      <c r="BB22" s="1592">
        <f>フェロモントラップ野帳!$I$105</f>
        <v>1.6666666666666667</v>
      </c>
    </row>
    <row r="23" spans="1:63" ht="13.5" customHeight="1">
      <c r="A23" s="403"/>
      <c r="B23" s="408"/>
      <c r="C23" s="461" t="s">
        <v>194</v>
      </c>
      <c r="D23" s="482">
        <f t="shared" ca="1" si="1"/>
        <v>0</v>
      </c>
      <c r="E23" s="547"/>
      <c r="F23" s="779">
        <f t="shared" ca="1" si="3"/>
        <v>15.903333333333332</v>
      </c>
      <c r="G23" s="462"/>
      <c r="H23" s="463"/>
      <c r="I23" s="464"/>
      <c r="J23" s="465">
        <f t="shared" ca="1" si="4"/>
        <v>17.366666666666667</v>
      </c>
      <c r="K23" s="715"/>
      <c r="L23" s="614"/>
      <c r="M23" s="490"/>
      <c r="N23" s="491" t="s">
        <v>304</v>
      </c>
      <c r="O23" s="716">
        <v>43</v>
      </c>
      <c r="P23" s="467">
        <v>69</v>
      </c>
      <c r="Q23" s="467">
        <v>90</v>
      </c>
      <c r="R23" s="467">
        <v>2</v>
      </c>
      <c r="S23" s="467">
        <v>46</v>
      </c>
      <c r="T23" s="467">
        <v>3</v>
      </c>
      <c r="U23" s="467">
        <v>4</v>
      </c>
      <c r="V23" s="467">
        <v>11</v>
      </c>
      <c r="W23" s="467">
        <v>7</v>
      </c>
      <c r="X23" s="467">
        <v>4</v>
      </c>
      <c r="Y23" s="467">
        <v>1</v>
      </c>
      <c r="Z23" s="467">
        <v>1</v>
      </c>
      <c r="AA23" s="467">
        <v>1</v>
      </c>
      <c r="AB23" s="467">
        <v>0</v>
      </c>
      <c r="AC23" s="492">
        <v>3</v>
      </c>
      <c r="AD23" s="492">
        <v>8</v>
      </c>
      <c r="AE23" s="492">
        <v>0</v>
      </c>
      <c r="AF23" s="492">
        <v>3</v>
      </c>
      <c r="AG23" s="492">
        <v>6</v>
      </c>
      <c r="AH23" s="492">
        <v>18</v>
      </c>
      <c r="AI23" s="492">
        <v>27</v>
      </c>
      <c r="AJ23" s="492">
        <v>16</v>
      </c>
      <c r="AK23" s="492">
        <v>13</v>
      </c>
      <c r="AL23" s="493">
        <v>0</v>
      </c>
      <c r="AM23" s="492">
        <v>3</v>
      </c>
      <c r="AN23" s="494">
        <v>5</v>
      </c>
      <c r="AO23" s="493">
        <v>16</v>
      </c>
      <c r="AP23" s="493">
        <v>8</v>
      </c>
      <c r="AQ23" s="493">
        <v>14.17</v>
      </c>
      <c r="AR23" s="493">
        <v>49</v>
      </c>
      <c r="AS23" s="877">
        <v>10.5</v>
      </c>
      <c r="AT23" s="948">
        <v>0</v>
      </c>
      <c r="AU23" s="957">
        <v>6.7</v>
      </c>
      <c r="AV23" s="1078">
        <v>6</v>
      </c>
      <c r="AW23" s="1377">
        <v>8</v>
      </c>
      <c r="AX23" s="1377">
        <v>11</v>
      </c>
      <c r="AY23" s="1672">
        <v>1</v>
      </c>
      <c r="AZ23" s="1672">
        <v>21</v>
      </c>
      <c r="BA23" s="1672">
        <v>45.833333333333329</v>
      </c>
      <c r="BB23" s="1592">
        <f>フェロモントラップ野帳!$I$110</f>
        <v>0</v>
      </c>
    </row>
    <row r="24" spans="1:63" ht="13.5" customHeight="1" thickBot="1">
      <c r="A24" s="403"/>
      <c r="B24" s="472"/>
      <c r="C24" s="523" t="s">
        <v>195</v>
      </c>
      <c r="D24" s="506">
        <f t="shared" ca="1" si="1"/>
        <v>0</v>
      </c>
      <c r="E24" s="549"/>
      <c r="F24" s="1607">
        <f t="shared" ca="1" si="3"/>
        <v>9.0566666666666684</v>
      </c>
      <c r="G24" s="473"/>
      <c r="H24" s="474"/>
      <c r="I24" s="475"/>
      <c r="J24" s="476">
        <f t="shared" ca="1" si="4"/>
        <v>11.033333333333333</v>
      </c>
      <c r="K24" s="717"/>
      <c r="L24" s="614"/>
      <c r="M24" s="508"/>
      <c r="N24" s="509" t="s">
        <v>305</v>
      </c>
      <c r="O24" s="721">
        <v>52</v>
      </c>
      <c r="P24" s="428">
        <v>27</v>
      </c>
      <c r="Q24" s="428">
        <v>5</v>
      </c>
      <c r="R24" s="428">
        <v>0</v>
      </c>
      <c r="S24" s="428">
        <v>21</v>
      </c>
      <c r="T24" s="428">
        <v>1</v>
      </c>
      <c r="U24" s="428">
        <v>0</v>
      </c>
      <c r="V24" s="428">
        <v>13</v>
      </c>
      <c r="W24" s="428">
        <v>0</v>
      </c>
      <c r="X24" s="428">
        <v>2</v>
      </c>
      <c r="Y24" s="428">
        <v>1</v>
      </c>
      <c r="Z24" s="428">
        <v>4</v>
      </c>
      <c r="AA24" s="428">
        <v>0</v>
      </c>
      <c r="AB24" s="428">
        <v>2</v>
      </c>
      <c r="AC24" s="524">
        <v>0</v>
      </c>
      <c r="AD24" s="524">
        <v>6</v>
      </c>
      <c r="AE24" s="524">
        <v>0</v>
      </c>
      <c r="AF24" s="524">
        <v>0</v>
      </c>
      <c r="AG24" s="524">
        <v>4</v>
      </c>
      <c r="AH24" s="524">
        <v>29</v>
      </c>
      <c r="AI24" s="524">
        <v>26</v>
      </c>
      <c r="AJ24" s="524">
        <v>36</v>
      </c>
      <c r="AK24" s="524">
        <v>41.67</v>
      </c>
      <c r="AL24" s="722">
        <f>2*(5/6)</f>
        <v>1.6666666666666667</v>
      </c>
      <c r="AM24" s="723">
        <v>1</v>
      </c>
      <c r="AN24" s="724">
        <v>0</v>
      </c>
      <c r="AO24" s="725">
        <v>2.5</v>
      </c>
      <c r="AP24" s="725">
        <v>2</v>
      </c>
      <c r="AQ24" s="737">
        <v>12.1</v>
      </c>
      <c r="AR24" s="555">
        <v>25.5</v>
      </c>
      <c r="AS24" s="885">
        <v>4.7</v>
      </c>
      <c r="AT24" s="998">
        <v>0</v>
      </c>
      <c r="AU24" s="1002">
        <v>4.2</v>
      </c>
      <c r="AV24" s="1089">
        <v>1</v>
      </c>
      <c r="AW24" s="1397">
        <v>5</v>
      </c>
      <c r="AX24" s="1397">
        <v>25</v>
      </c>
      <c r="AY24" s="1674">
        <v>1</v>
      </c>
      <c r="AZ24" s="1674">
        <v>12</v>
      </c>
      <c r="BA24" s="1674">
        <v>12.166666666666666</v>
      </c>
      <c r="BB24" s="1594">
        <f>フェロモントラップ野帳!$I$116</f>
        <v>0</v>
      </c>
    </row>
    <row r="25" spans="1:63" ht="13.5" customHeight="1">
      <c r="A25" s="403"/>
      <c r="B25" s="408"/>
      <c r="C25" s="529" t="s">
        <v>189</v>
      </c>
      <c r="D25" s="482">
        <f t="shared" ca="1" si="1"/>
        <v>0.7142857142857143</v>
      </c>
      <c r="E25" s="547"/>
      <c r="F25" s="1606">
        <f t="shared" ca="1" si="3"/>
        <v>4.6669999999999998</v>
      </c>
      <c r="G25" s="462"/>
      <c r="H25" s="452"/>
      <c r="I25" s="453"/>
      <c r="J25" s="454">
        <f t="shared" ca="1" si="4"/>
        <v>6.8</v>
      </c>
      <c r="K25" s="715"/>
      <c r="L25" s="614"/>
      <c r="M25" s="490"/>
      <c r="N25" s="484" t="s">
        <v>300</v>
      </c>
      <c r="O25" s="714">
        <v>61</v>
      </c>
      <c r="P25" s="457">
        <v>18</v>
      </c>
      <c r="Q25" s="457">
        <v>6</v>
      </c>
      <c r="R25" s="457">
        <v>13</v>
      </c>
      <c r="S25" s="457">
        <v>9</v>
      </c>
      <c r="T25" s="457">
        <v>1</v>
      </c>
      <c r="U25" s="457">
        <v>1</v>
      </c>
      <c r="V25" s="457">
        <v>11</v>
      </c>
      <c r="W25" s="457">
        <v>4</v>
      </c>
      <c r="X25" s="457">
        <v>3</v>
      </c>
      <c r="Y25" s="457">
        <v>12</v>
      </c>
      <c r="Z25" s="457">
        <v>1</v>
      </c>
      <c r="AA25" s="457">
        <v>10</v>
      </c>
      <c r="AB25" s="457">
        <v>3</v>
      </c>
      <c r="AC25" s="485">
        <v>2</v>
      </c>
      <c r="AD25" s="485">
        <v>0</v>
      </c>
      <c r="AE25" s="485">
        <v>7</v>
      </c>
      <c r="AF25" s="485">
        <v>6</v>
      </c>
      <c r="AG25" s="485">
        <v>1</v>
      </c>
      <c r="AH25" s="485">
        <v>28</v>
      </c>
      <c r="AI25" s="485">
        <v>4</v>
      </c>
      <c r="AJ25" s="485">
        <v>16</v>
      </c>
      <c r="AK25" s="485">
        <v>21</v>
      </c>
      <c r="AL25" s="486">
        <v>11</v>
      </c>
      <c r="AM25" s="485">
        <v>5</v>
      </c>
      <c r="AN25" s="487">
        <v>2</v>
      </c>
      <c r="AO25" s="486">
        <v>0</v>
      </c>
      <c r="AP25" s="486">
        <v>3</v>
      </c>
      <c r="AQ25" s="558">
        <v>3.3</v>
      </c>
      <c r="AR25" s="558">
        <v>0</v>
      </c>
      <c r="AS25" s="886">
        <v>0</v>
      </c>
      <c r="AT25" s="972">
        <v>0</v>
      </c>
      <c r="AU25" s="993">
        <v>4.0999999999999996</v>
      </c>
      <c r="AV25" s="1085">
        <v>8.57</v>
      </c>
      <c r="AW25" s="1393">
        <v>10</v>
      </c>
      <c r="AX25" s="1393">
        <v>5</v>
      </c>
      <c r="AY25" s="1675">
        <v>4</v>
      </c>
      <c r="AZ25" s="1675">
        <v>6</v>
      </c>
      <c r="BA25" s="1675">
        <v>9</v>
      </c>
      <c r="BB25" s="1595">
        <f>フェロモントラップ野帳!$I$130</f>
        <v>0.7142857142857143</v>
      </c>
    </row>
    <row r="26" spans="1:63" ht="13.5" customHeight="1">
      <c r="A26" s="403"/>
      <c r="B26" s="408"/>
      <c r="C26" s="461" t="s">
        <v>190</v>
      </c>
      <c r="D26" s="482">
        <f t="shared" ca="1" si="1"/>
        <v>0</v>
      </c>
      <c r="E26" s="547"/>
      <c r="F26" s="779">
        <f t="shared" ca="1" si="3"/>
        <v>4.0030000000000001</v>
      </c>
      <c r="G26" s="462"/>
      <c r="H26" s="463"/>
      <c r="I26" s="464"/>
      <c r="J26" s="465">
        <f t="shared" ca="1" si="4"/>
        <v>6.6</v>
      </c>
      <c r="K26" s="715"/>
      <c r="L26" s="614"/>
      <c r="M26" s="490"/>
      <c r="N26" s="491" t="s">
        <v>301</v>
      </c>
      <c r="O26" s="716">
        <v>42</v>
      </c>
      <c r="P26" s="467">
        <v>11</v>
      </c>
      <c r="Q26" s="467">
        <v>13</v>
      </c>
      <c r="R26" s="467">
        <v>0</v>
      </c>
      <c r="S26" s="467">
        <v>5</v>
      </c>
      <c r="T26" s="467">
        <v>1</v>
      </c>
      <c r="U26" s="467">
        <v>1</v>
      </c>
      <c r="V26" s="467">
        <v>0</v>
      </c>
      <c r="W26" s="467">
        <v>1</v>
      </c>
      <c r="X26" s="467">
        <v>3</v>
      </c>
      <c r="Y26" s="467">
        <v>7</v>
      </c>
      <c r="Z26" s="467">
        <v>5</v>
      </c>
      <c r="AA26" s="467">
        <v>1</v>
      </c>
      <c r="AB26" s="467">
        <v>1</v>
      </c>
      <c r="AC26" s="492">
        <v>0</v>
      </c>
      <c r="AD26" s="492">
        <v>3</v>
      </c>
      <c r="AE26" s="492">
        <v>4</v>
      </c>
      <c r="AF26" s="492">
        <v>3</v>
      </c>
      <c r="AG26" s="492">
        <v>11</v>
      </c>
      <c r="AH26" s="492">
        <v>11</v>
      </c>
      <c r="AI26" s="492">
        <v>5</v>
      </c>
      <c r="AJ26" s="492">
        <v>20</v>
      </c>
      <c r="AK26" s="492">
        <v>7</v>
      </c>
      <c r="AL26" s="493">
        <v>4</v>
      </c>
      <c r="AM26" s="492">
        <v>1</v>
      </c>
      <c r="AN26" s="494">
        <v>17</v>
      </c>
      <c r="AO26" s="493">
        <v>7</v>
      </c>
      <c r="AP26" s="493">
        <v>2.5</v>
      </c>
      <c r="AQ26" s="561">
        <v>4.2</v>
      </c>
      <c r="AR26" s="561">
        <v>0</v>
      </c>
      <c r="AS26" s="887">
        <v>1.6</v>
      </c>
      <c r="AT26" s="968">
        <v>1</v>
      </c>
      <c r="AU26" s="989">
        <v>1</v>
      </c>
      <c r="AV26" s="1083">
        <v>3.43</v>
      </c>
      <c r="AW26" s="1389">
        <v>5</v>
      </c>
      <c r="AX26" s="1389">
        <v>5</v>
      </c>
      <c r="AY26" s="1676">
        <v>10</v>
      </c>
      <c r="AZ26" s="1676">
        <v>7</v>
      </c>
      <c r="BA26" s="1676">
        <v>6</v>
      </c>
      <c r="BB26" s="1596">
        <f>フェロモントラップ野帳!$I$135</f>
        <v>0</v>
      </c>
      <c r="BC26" s="1163"/>
      <c r="BD26" s="1163"/>
      <c r="BE26" s="1163"/>
      <c r="BF26" s="1163"/>
      <c r="BG26" s="1163"/>
      <c r="BH26" s="1163"/>
      <c r="BI26" s="1163"/>
      <c r="BJ26" s="912"/>
    </row>
    <row r="27" spans="1:63" ht="13.5" customHeight="1">
      <c r="A27" s="403"/>
      <c r="B27" s="408" t="s">
        <v>199</v>
      </c>
      <c r="C27" s="461" t="s">
        <v>192</v>
      </c>
      <c r="D27" s="482">
        <f t="shared" ca="1" si="1"/>
        <v>1</v>
      </c>
      <c r="E27" s="547"/>
      <c r="F27" s="779">
        <f t="shared" ca="1" si="3"/>
        <v>4.0299999999999994</v>
      </c>
      <c r="G27" s="462"/>
      <c r="H27" s="463"/>
      <c r="I27" s="464"/>
      <c r="J27" s="465">
        <f t="shared" ca="1" si="4"/>
        <v>5.4</v>
      </c>
      <c r="K27" s="715"/>
      <c r="L27" s="614"/>
      <c r="M27" s="490" t="s">
        <v>288</v>
      </c>
      <c r="N27" s="491" t="s">
        <v>302</v>
      </c>
      <c r="O27" s="716">
        <v>3</v>
      </c>
      <c r="P27" s="467">
        <v>11</v>
      </c>
      <c r="Q27" s="467">
        <v>27</v>
      </c>
      <c r="R27" s="467">
        <v>3</v>
      </c>
      <c r="S27" s="467">
        <v>12</v>
      </c>
      <c r="T27" s="467">
        <v>1</v>
      </c>
      <c r="U27" s="467">
        <v>9</v>
      </c>
      <c r="V27" s="467">
        <v>16</v>
      </c>
      <c r="W27" s="467">
        <v>2</v>
      </c>
      <c r="X27" s="467">
        <v>4</v>
      </c>
      <c r="Y27" s="467">
        <v>3</v>
      </c>
      <c r="Z27" s="467">
        <v>0</v>
      </c>
      <c r="AA27" s="467">
        <v>0</v>
      </c>
      <c r="AB27" s="467">
        <v>0</v>
      </c>
      <c r="AC27" s="492">
        <v>0</v>
      </c>
      <c r="AD27" s="492">
        <v>1</v>
      </c>
      <c r="AE27" s="492">
        <v>0</v>
      </c>
      <c r="AF27" s="492">
        <v>3</v>
      </c>
      <c r="AG27" s="492">
        <v>5</v>
      </c>
      <c r="AH27" s="492">
        <v>5</v>
      </c>
      <c r="AI27" s="492">
        <v>2</v>
      </c>
      <c r="AJ27" s="492">
        <v>10</v>
      </c>
      <c r="AK27" s="492">
        <v>11</v>
      </c>
      <c r="AL27" s="493">
        <v>3</v>
      </c>
      <c r="AM27" s="492">
        <v>10</v>
      </c>
      <c r="AN27" s="494">
        <v>27</v>
      </c>
      <c r="AO27" s="493">
        <v>0</v>
      </c>
      <c r="AP27" s="493">
        <v>7</v>
      </c>
      <c r="AQ27" s="561">
        <v>9.8000000000000007</v>
      </c>
      <c r="AR27" s="561">
        <v>5</v>
      </c>
      <c r="AS27" s="887">
        <v>1.3</v>
      </c>
      <c r="AT27" s="968">
        <v>2</v>
      </c>
      <c r="AU27" s="989">
        <v>4</v>
      </c>
      <c r="AV27" s="1083">
        <v>1</v>
      </c>
      <c r="AW27" s="1389">
        <v>0</v>
      </c>
      <c r="AX27" s="1389">
        <v>3</v>
      </c>
      <c r="AY27" s="1676">
        <v>16</v>
      </c>
      <c r="AZ27" s="1676">
        <v>5</v>
      </c>
      <c r="BA27" s="1676">
        <v>3</v>
      </c>
      <c r="BB27" s="1596">
        <f>フェロモントラップ野帳!$I$140</f>
        <v>1</v>
      </c>
      <c r="BC27" s="1163"/>
      <c r="BD27" s="1163"/>
      <c r="BE27" s="1163"/>
      <c r="BF27" s="1163"/>
      <c r="BG27" s="1163"/>
      <c r="BH27" s="1163"/>
      <c r="BI27" s="1163"/>
      <c r="BJ27" s="912"/>
      <c r="BK27" s="912"/>
    </row>
    <row r="28" spans="1:63" ht="13.5" customHeight="1">
      <c r="A28" s="403"/>
      <c r="B28" s="408"/>
      <c r="C28" s="461" t="s">
        <v>193</v>
      </c>
      <c r="D28" s="482">
        <f t="shared" ca="1" si="1"/>
        <v>0</v>
      </c>
      <c r="E28" s="547"/>
      <c r="F28" s="779">
        <f t="shared" ca="1" si="3"/>
        <v>6.0125000000000002</v>
      </c>
      <c r="G28" s="462"/>
      <c r="H28" s="463"/>
      <c r="I28" s="464"/>
      <c r="J28" s="465">
        <f t="shared" ca="1" si="4"/>
        <v>8.2249999999999996</v>
      </c>
      <c r="K28" s="715"/>
      <c r="L28" s="614"/>
      <c r="M28" s="490"/>
      <c r="N28" s="491" t="s">
        <v>303</v>
      </c>
      <c r="O28" s="716">
        <v>2</v>
      </c>
      <c r="P28" s="467">
        <v>3</v>
      </c>
      <c r="Q28" s="467">
        <v>45</v>
      </c>
      <c r="R28" s="467">
        <v>0</v>
      </c>
      <c r="S28" s="467">
        <v>23</v>
      </c>
      <c r="T28" s="467">
        <v>5</v>
      </c>
      <c r="U28" s="467">
        <v>2</v>
      </c>
      <c r="V28" s="467">
        <v>20</v>
      </c>
      <c r="W28" s="467">
        <v>55</v>
      </c>
      <c r="X28" s="467">
        <v>4</v>
      </c>
      <c r="Y28" s="467">
        <v>2</v>
      </c>
      <c r="Z28" s="467">
        <v>3</v>
      </c>
      <c r="AA28" s="467">
        <v>70</v>
      </c>
      <c r="AB28" s="467">
        <v>0</v>
      </c>
      <c r="AC28" s="492">
        <v>0</v>
      </c>
      <c r="AD28" s="492">
        <v>2</v>
      </c>
      <c r="AE28" s="492">
        <v>0</v>
      </c>
      <c r="AF28" s="492">
        <v>6</v>
      </c>
      <c r="AG28" s="492">
        <v>7</v>
      </c>
      <c r="AH28" s="492">
        <v>4</v>
      </c>
      <c r="AI28" s="492">
        <v>15</v>
      </c>
      <c r="AJ28" s="492">
        <v>7</v>
      </c>
      <c r="AK28" s="492">
        <v>17</v>
      </c>
      <c r="AL28" s="493">
        <v>2</v>
      </c>
      <c r="AM28" s="492">
        <v>6</v>
      </c>
      <c r="AN28" s="494">
        <v>1</v>
      </c>
      <c r="AO28" s="493">
        <v>0</v>
      </c>
      <c r="AP28" s="493">
        <v>5</v>
      </c>
      <c r="AQ28" s="561">
        <v>15</v>
      </c>
      <c r="AR28" s="561">
        <v>14</v>
      </c>
      <c r="AS28" s="887">
        <v>0</v>
      </c>
      <c r="AT28" s="968">
        <v>0</v>
      </c>
      <c r="AU28" s="989">
        <v>5</v>
      </c>
      <c r="AV28" s="1083">
        <v>0</v>
      </c>
      <c r="AW28" s="1389">
        <v>1</v>
      </c>
      <c r="AX28" s="1389">
        <v>10</v>
      </c>
      <c r="AY28" s="1676">
        <v>15</v>
      </c>
      <c r="AZ28" s="1676">
        <v>3.125</v>
      </c>
      <c r="BA28" s="1676">
        <v>12</v>
      </c>
      <c r="BB28" s="1596">
        <f>フェロモントラップ野帳!$I$145</f>
        <v>0</v>
      </c>
    </row>
    <row r="29" spans="1:63" ht="13.5" customHeight="1">
      <c r="A29" s="403"/>
      <c r="B29" s="408"/>
      <c r="C29" s="461" t="s">
        <v>194</v>
      </c>
      <c r="D29" s="482" t="e">
        <f t="shared" ca="1" si="1"/>
        <v>#N/A</v>
      </c>
      <c r="E29" s="547"/>
      <c r="F29" s="779">
        <f t="shared" ca="1" si="3"/>
        <v>11.73</v>
      </c>
      <c r="G29" s="462"/>
      <c r="H29" s="463"/>
      <c r="I29" s="464"/>
      <c r="J29" s="465">
        <f t="shared" ca="1" si="4"/>
        <v>11.6</v>
      </c>
      <c r="K29" s="715"/>
      <c r="L29" s="614"/>
      <c r="M29" s="490"/>
      <c r="N29" s="491" t="s">
        <v>304</v>
      </c>
      <c r="O29" s="716">
        <v>4</v>
      </c>
      <c r="P29" s="467">
        <v>5</v>
      </c>
      <c r="Q29" s="467">
        <v>23</v>
      </c>
      <c r="R29" s="467">
        <v>1</v>
      </c>
      <c r="S29" s="467">
        <v>40</v>
      </c>
      <c r="T29" s="467">
        <v>0</v>
      </c>
      <c r="U29" s="467">
        <v>2</v>
      </c>
      <c r="V29" s="467">
        <v>63</v>
      </c>
      <c r="W29" s="467">
        <v>14</v>
      </c>
      <c r="X29" s="467">
        <v>2</v>
      </c>
      <c r="Y29" s="467">
        <v>14</v>
      </c>
      <c r="Z29" s="467">
        <v>2</v>
      </c>
      <c r="AA29" s="467">
        <v>36</v>
      </c>
      <c r="AB29" s="467">
        <v>0</v>
      </c>
      <c r="AC29" s="492">
        <v>0</v>
      </c>
      <c r="AD29" s="492">
        <v>5</v>
      </c>
      <c r="AE29" s="492">
        <v>0</v>
      </c>
      <c r="AF29" s="492">
        <v>10</v>
      </c>
      <c r="AG29" s="492">
        <v>15</v>
      </c>
      <c r="AH29" s="492">
        <v>3</v>
      </c>
      <c r="AI29" s="492">
        <v>41</v>
      </c>
      <c r="AJ29" s="492">
        <v>3</v>
      </c>
      <c r="AK29" s="492">
        <v>1</v>
      </c>
      <c r="AL29" s="493">
        <v>5</v>
      </c>
      <c r="AM29" s="492">
        <v>0</v>
      </c>
      <c r="AN29" s="494">
        <v>5</v>
      </c>
      <c r="AO29" s="493">
        <v>0</v>
      </c>
      <c r="AP29" s="493">
        <v>2</v>
      </c>
      <c r="AQ29" s="561">
        <v>5</v>
      </c>
      <c r="AR29" s="561">
        <v>50.3</v>
      </c>
      <c r="AS29" s="887">
        <v>0</v>
      </c>
      <c r="AT29" s="968">
        <v>0</v>
      </c>
      <c r="AU29" s="989">
        <v>8</v>
      </c>
      <c r="AV29" s="1083">
        <v>1</v>
      </c>
      <c r="AW29" s="1389">
        <v>6</v>
      </c>
      <c r="AX29" s="1389">
        <v>19</v>
      </c>
      <c r="AY29" s="1676">
        <v>22</v>
      </c>
      <c r="AZ29" s="1676">
        <v>2</v>
      </c>
      <c r="BA29" s="1676">
        <v>9</v>
      </c>
      <c r="BB29" s="1596" t="e">
        <f>フェロモントラップ野帳!$I$150</f>
        <v>#N/A</v>
      </c>
    </row>
    <row r="30" spans="1:63" ht="13.5" customHeight="1" thickBot="1">
      <c r="A30" s="403"/>
      <c r="B30" s="408"/>
      <c r="C30" s="448" t="s">
        <v>195</v>
      </c>
      <c r="D30" s="506" t="e">
        <f t="shared" ca="1" si="1"/>
        <v>#N/A</v>
      </c>
      <c r="E30" s="549"/>
      <c r="F30" s="1607">
        <f t="shared" ca="1" si="3"/>
        <v>8.76</v>
      </c>
      <c r="G30" s="473"/>
      <c r="H30" s="474"/>
      <c r="I30" s="475"/>
      <c r="J30" s="476">
        <f t="shared" ca="1" si="4"/>
        <v>11.6</v>
      </c>
      <c r="K30" s="717"/>
      <c r="L30" s="614"/>
      <c r="M30" s="490"/>
      <c r="N30" s="509" t="s">
        <v>305</v>
      </c>
      <c r="O30" s="718">
        <v>21</v>
      </c>
      <c r="P30" s="478">
        <v>9</v>
      </c>
      <c r="Q30" s="478">
        <v>46</v>
      </c>
      <c r="R30" s="478">
        <v>12</v>
      </c>
      <c r="S30" s="478">
        <v>76</v>
      </c>
      <c r="T30" s="478">
        <v>8</v>
      </c>
      <c r="U30" s="478">
        <v>22</v>
      </c>
      <c r="V30" s="478">
        <v>18</v>
      </c>
      <c r="W30" s="478">
        <v>19</v>
      </c>
      <c r="X30" s="478">
        <v>16</v>
      </c>
      <c r="Y30" s="478">
        <v>13</v>
      </c>
      <c r="Z30" s="478">
        <v>4</v>
      </c>
      <c r="AA30" s="478">
        <v>46</v>
      </c>
      <c r="AB30" s="478">
        <v>0</v>
      </c>
      <c r="AC30" s="510">
        <v>1</v>
      </c>
      <c r="AD30" s="510">
        <v>6</v>
      </c>
      <c r="AE30" s="510">
        <v>7</v>
      </c>
      <c r="AF30" s="510">
        <v>9</v>
      </c>
      <c r="AG30" s="510">
        <v>26</v>
      </c>
      <c r="AH30" s="510">
        <v>3</v>
      </c>
      <c r="AI30" s="510">
        <v>5</v>
      </c>
      <c r="AJ30" s="510">
        <v>4</v>
      </c>
      <c r="AK30" s="510">
        <v>6</v>
      </c>
      <c r="AL30" s="511">
        <v>1</v>
      </c>
      <c r="AM30" s="510">
        <v>1</v>
      </c>
      <c r="AN30" s="512">
        <v>3</v>
      </c>
      <c r="AO30" s="511">
        <v>6</v>
      </c>
      <c r="AP30" s="511">
        <v>1.7</v>
      </c>
      <c r="AQ30" s="564">
        <v>0</v>
      </c>
      <c r="AR30" s="619">
        <v>28.6</v>
      </c>
      <c r="AS30" s="888">
        <v>0</v>
      </c>
      <c r="AT30" s="971">
        <v>0</v>
      </c>
      <c r="AU30" s="992">
        <v>1</v>
      </c>
      <c r="AV30" s="1084">
        <v>0</v>
      </c>
      <c r="AW30" s="1392">
        <v>1</v>
      </c>
      <c r="AX30" s="1392">
        <v>19</v>
      </c>
      <c r="AY30" s="1677">
        <v>24</v>
      </c>
      <c r="AZ30" s="1677">
        <v>9</v>
      </c>
      <c r="BA30" s="1677">
        <v>5</v>
      </c>
      <c r="BB30" s="1597" t="e">
        <f>フェロモントラップ野帳!$I$156</f>
        <v>#N/A</v>
      </c>
    </row>
    <row r="31" spans="1:63" ht="13.5" customHeight="1">
      <c r="A31" s="403"/>
      <c r="B31" s="407"/>
      <c r="C31" s="529" t="s">
        <v>189</v>
      </c>
      <c r="D31" s="482" t="e">
        <f t="shared" ca="1" si="1"/>
        <v>#N/A</v>
      </c>
      <c r="E31" s="547"/>
      <c r="F31" s="1606">
        <f t="shared" ca="1" si="3"/>
        <v>9.4430000000000014</v>
      </c>
      <c r="G31" s="462"/>
      <c r="H31" s="452"/>
      <c r="I31" s="453"/>
      <c r="J31" s="454">
        <f t="shared" ca="1" si="4"/>
        <v>14.4</v>
      </c>
      <c r="K31" s="715"/>
      <c r="L31" s="614"/>
      <c r="M31" s="434"/>
      <c r="N31" s="484" t="s">
        <v>300</v>
      </c>
      <c r="O31" s="720">
        <v>76</v>
      </c>
      <c r="P31" s="517">
        <v>46</v>
      </c>
      <c r="Q31" s="517">
        <v>70</v>
      </c>
      <c r="R31" s="517">
        <v>6</v>
      </c>
      <c r="S31" s="517">
        <v>38</v>
      </c>
      <c r="T31" s="517">
        <v>3</v>
      </c>
      <c r="U31" s="517">
        <v>28</v>
      </c>
      <c r="V31" s="517">
        <v>57</v>
      </c>
      <c r="W31" s="517">
        <v>11</v>
      </c>
      <c r="X31" s="517">
        <v>15</v>
      </c>
      <c r="Y31" s="517">
        <v>4</v>
      </c>
      <c r="Z31" s="517">
        <v>0</v>
      </c>
      <c r="AA31" s="517">
        <v>18</v>
      </c>
      <c r="AB31" s="517">
        <v>2</v>
      </c>
      <c r="AC31" s="518">
        <v>0</v>
      </c>
      <c r="AD31" s="518">
        <v>21</v>
      </c>
      <c r="AE31" s="518">
        <v>2</v>
      </c>
      <c r="AF31" s="518">
        <v>7</v>
      </c>
      <c r="AG31" s="518">
        <v>2</v>
      </c>
      <c r="AH31" s="518">
        <v>2</v>
      </c>
      <c r="AI31" s="518">
        <v>7</v>
      </c>
      <c r="AJ31" s="518">
        <v>13</v>
      </c>
      <c r="AK31" s="518">
        <v>9</v>
      </c>
      <c r="AL31" s="519">
        <v>1</v>
      </c>
      <c r="AM31" s="518">
        <v>3</v>
      </c>
      <c r="AN31" s="520">
        <v>1</v>
      </c>
      <c r="AO31" s="519">
        <v>1</v>
      </c>
      <c r="AP31" s="519">
        <v>1</v>
      </c>
      <c r="AQ31" s="604">
        <v>7</v>
      </c>
      <c r="AR31" s="558">
        <v>15</v>
      </c>
      <c r="AS31" s="886">
        <v>5</v>
      </c>
      <c r="AT31" s="972">
        <v>1</v>
      </c>
      <c r="AU31" s="993">
        <v>1.43</v>
      </c>
      <c r="AV31" s="1085">
        <v>0</v>
      </c>
      <c r="AW31" s="1393">
        <v>1</v>
      </c>
      <c r="AX31" s="1393">
        <v>3</v>
      </c>
      <c r="AY31" s="1675">
        <v>45</v>
      </c>
      <c r="AZ31" s="1675">
        <v>22</v>
      </c>
      <c r="BA31" s="1675">
        <v>1</v>
      </c>
      <c r="BB31" s="1595" t="e">
        <f>フェロモントラップ野帳!$I$170</f>
        <v>#N/A</v>
      </c>
    </row>
    <row r="32" spans="1:63" ht="13.5" customHeight="1">
      <c r="A32" s="403"/>
      <c r="B32" s="408"/>
      <c r="C32" s="461" t="s">
        <v>190</v>
      </c>
      <c r="D32" s="482" t="e">
        <f t="shared" ca="1" si="1"/>
        <v>#N/A</v>
      </c>
      <c r="E32" s="547"/>
      <c r="F32" s="779">
        <f t="shared" ca="1" si="3"/>
        <v>9.3279999999999994</v>
      </c>
      <c r="G32" s="462"/>
      <c r="H32" s="463"/>
      <c r="I32" s="464"/>
      <c r="J32" s="465">
        <f t="shared" ca="1" si="4"/>
        <v>11.8</v>
      </c>
      <c r="K32" s="715"/>
      <c r="L32" s="614"/>
      <c r="M32" s="490"/>
      <c r="N32" s="491" t="s">
        <v>301</v>
      </c>
      <c r="O32" s="716">
        <v>49</v>
      </c>
      <c r="P32" s="467">
        <v>33</v>
      </c>
      <c r="Q32" s="467">
        <v>36</v>
      </c>
      <c r="R32" s="467">
        <v>15</v>
      </c>
      <c r="S32" s="467">
        <v>16</v>
      </c>
      <c r="T32" s="467">
        <v>1</v>
      </c>
      <c r="U32" s="467">
        <v>15</v>
      </c>
      <c r="V32" s="467">
        <v>12</v>
      </c>
      <c r="W32" s="467">
        <v>7</v>
      </c>
      <c r="X32" s="467">
        <v>5</v>
      </c>
      <c r="Y32" s="467">
        <v>13</v>
      </c>
      <c r="Z32" s="467">
        <v>0</v>
      </c>
      <c r="AA32" s="467">
        <v>8</v>
      </c>
      <c r="AB32" s="467">
        <v>10</v>
      </c>
      <c r="AC32" s="492">
        <v>12</v>
      </c>
      <c r="AD32" s="492">
        <v>35</v>
      </c>
      <c r="AE32" s="492">
        <v>9</v>
      </c>
      <c r="AF32" s="492">
        <v>25</v>
      </c>
      <c r="AG32" s="492">
        <v>2</v>
      </c>
      <c r="AH32" s="492">
        <v>1</v>
      </c>
      <c r="AI32" s="492">
        <v>19</v>
      </c>
      <c r="AJ32" s="492">
        <v>2</v>
      </c>
      <c r="AK32" s="492">
        <v>9</v>
      </c>
      <c r="AL32" s="493">
        <v>0</v>
      </c>
      <c r="AM32" s="492">
        <v>0</v>
      </c>
      <c r="AN32" s="494">
        <v>5</v>
      </c>
      <c r="AO32" s="493">
        <v>0</v>
      </c>
      <c r="AP32" s="493">
        <v>2.33</v>
      </c>
      <c r="AQ32" s="561">
        <v>5</v>
      </c>
      <c r="AR32" s="561">
        <v>16</v>
      </c>
      <c r="AS32" s="887">
        <v>0</v>
      </c>
      <c r="AT32" s="968">
        <v>0</v>
      </c>
      <c r="AU32" s="989">
        <v>17.57</v>
      </c>
      <c r="AV32" s="1083">
        <v>0.71</v>
      </c>
      <c r="AW32" s="1389">
        <v>4</v>
      </c>
      <c r="AX32" s="1389">
        <v>5</v>
      </c>
      <c r="AY32" s="1676">
        <v>23</v>
      </c>
      <c r="AZ32" s="1676">
        <v>18</v>
      </c>
      <c r="BA32" s="1676">
        <v>9</v>
      </c>
      <c r="BB32" s="1596" t="e">
        <f>フェロモントラップ野帳!$I$175</f>
        <v>#N/A</v>
      </c>
      <c r="BC32" s="1163"/>
      <c r="BD32" s="1163"/>
      <c r="BE32" s="1163"/>
      <c r="BF32" s="1163"/>
      <c r="BG32" s="1163"/>
      <c r="BH32" s="1163"/>
      <c r="BI32" s="1163"/>
      <c r="BJ32" s="912"/>
    </row>
    <row r="33" spans="1:62" ht="13.5" customHeight="1">
      <c r="A33" s="403"/>
      <c r="B33" s="408" t="s">
        <v>200</v>
      </c>
      <c r="C33" s="461" t="s">
        <v>192</v>
      </c>
      <c r="D33" s="482" t="e">
        <f t="shared" ca="1" si="1"/>
        <v>#N/A</v>
      </c>
      <c r="E33" s="547"/>
      <c r="F33" s="779">
        <f t="shared" ca="1" si="3"/>
        <v>4.7023333333333328</v>
      </c>
      <c r="G33" s="462"/>
      <c r="H33" s="463"/>
      <c r="I33" s="464"/>
      <c r="J33" s="465">
        <f t="shared" ca="1" si="4"/>
        <v>7.0666666666666655</v>
      </c>
      <c r="K33" s="715"/>
      <c r="L33" s="738"/>
      <c r="M33" s="490" t="s">
        <v>289</v>
      </c>
      <c r="N33" s="491" t="s">
        <v>302</v>
      </c>
      <c r="O33" s="716">
        <v>69</v>
      </c>
      <c r="P33" s="467">
        <v>36</v>
      </c>
      <c r="Q33" s="467">
        <v>35</v>
      </c>
      <c r="R33" s="467">
        <v>56</v>
      </c>
      <c r="S33" s="467">
        <v>37</v>
      </c>
      <c r="T33" s="467">
        <v>8</v>
      </c>
      <c r="U33" s="467">
        <v>70</v>
      </c>
      <c r="V33" s="467">
        <v>5</v>
      </c>
      <c r="W33" s="467">
        <v>6</v>
      </c>
      <c r="X33" s="467">
        <v>1</v>
      </c>
      <c r="Y33" s="467">
        <v>7</v>
      </c>
      <c r="Z33" s="467">
        <v>0</v>
      </c>
      <c r="AA33" s="467">
        <v>12</v>
      </c>
      <c r="AB33" s="467">
        <v>6</v>
      </c>
      <c r="AC33" s="492">
        <v>0</v>
      </c>
      <c r="AD33" s="492">
        <v>11</v>
      </c>
      <c r="AE33" s="492">
        <v>9</v>
      </c>
      <c r="AF33" s="492">
        <v>11</v>
      </c>
      <c r="AG33" s="492">
        <v>12</v>
      </c>
      <c r="AH33" s="492">
        <v>12</v>
      </c>
      <c r="AI33" s="492">
        <v>21</v>
      </c>
      <c r="AJ33" s="492">
        <v>23</v>
      </c>
      <c r="AK33" s="492">
        <v>5</v>
      </c>
      <c r="AL33" s="493">
        <v>0</v>
      </c>
      <c r="AM33" s="492">
        <v>0</v>
      </c>
      <c r="AN33" s="494">
        <v>26</v>
      </c>
      <c r="AO33" s="493">
        <v>0</v>
      </c>
      <c r="AP33" s="493">
        <v>11.25</v>
      </c>
      <c r="AQ33" s="561">
        <v>26</v>
      </c>
      <c r="AR33" s="561">
        <v>0.5</v>
      </c>
      <c r="AS33" s="887">
        <v>7.9</v>
      </c>
      <c r="AT33" s="968">
        <v>0</v>
      </c>
      <c r="AU33" s="989">
        <v>3</v>
      </c>
      <c r="AV33" s="1083">
        <v>0.28999999999999998</v>
      </c>
      <c r="AW33" s="1389">
        <v>5</v>
      </c>
      <c r="AX33" s="1389">
        <v>3.333333333333333</v>
      </c>
      <c r="AY33" s="1676">
        <v>13</v>
      </c>
      <c r="AZ33" s="1676">
        <v>12</v>
      </c>
      <c r="BA33" s="1676">
        <v>2</v>
      </c>
      <c r="BB33" s="1596" t="e">
        <f>フェロモントラップ野帳!$I$180</f>
        <v>#N/A</v>
      </c>
      <c r="BC33" s="1163"/>
      <c r="BD33" s="1163"/>
      <c r="BE33" s="1163"/>
      <c r="BF33" s="1163"/>
      <c r="BG33" s="1163"/>
      <c r="BH33" s="1163"/>
      <c r="BI33" s="1163"/>
      <c r="BJ33" s="912"/>
    </row>
    <row r="34" spans="1:62" ht="13.5" customHeight="1">
      <c r="A34" s="403"/>
      <c r="B34" s="408"/>
      <c r="C34" s="461" t="s">
        <v>193</v>
      </c>
      <c r="D34" s="482" t="e">
        <f t="shared" ca="1" si="1"/>
        <v>#N/A</v>
      </c>
      <c r="E34" s="547"/>
      <c r="F34" s="779">
        <f t="shared" ca="1" si="3"/>
        <v>6.2936666666666667</v>
      </c>
      <c r="G34" s="462"/>
      <c r="H34" s="463"/>
      <c r="I34" s="464"/>
      <c r="J34" s="465">
        <f t="shared" ca="1" si="4"/>
        <v>9.033333333333335</v>
      </c>
      <c r="K34" s="715"/>
      <c r="L34" s="738"/>
      <c r="M34" s="490"/>
      <c r="N34" s="491" t="s">
        <v>303</v>
      </c>
      <c r="O34" s="716">
        <v>28</v>
      </c>
      <c r="P34" s="467">
        <v>32</v>
      </c>
      <c r="Q34" s="467">
        <v>0</v>
      </c>
      <c r="R34" s="467">
        <v>18</v>
      </c>
      <c r="S34" s="467">
        <v>25</v>
      </c>
      <c r="T34" s="467">
        <v>3</v>
      </c>
      <c r="U34" s="467">
        <v>41</v>
      </c>
      <c r="V34" s="467">
        <v>2</v>
      </c>
      <c r="W34" s="467">
        <v>1</v>
      </c>
      <c r="X34" s="467">
        <v>5</v>
      </c>
      <c r="Y34" s="467">
        <v>4</v>
      </c>
      <c r="Z34" s="467">
        <v>5</v>
      </c>
      <c r="AA34" s="467">
        <v>2</v>
      </c>
      <c r="AB34" s="467">
        <v>2</v>
      </c>
      <c r="AC34" s="492">
        <v>1</v>
      </c>
      <c r="AD34" s="492">
        <v>10</v>
      </c>
      <c r="AE34" s="492">
        <v>11</v>
      </c>
      <c r="AF34" s="492">
        <v>8</v>
      </c>
      <c r="AG34" s="492">
        <v>12</v>
      </c>
      <c r="AH34" s="492">
        <v>10</v>
      </c>
      <c r="AI34" s="492">
        <v>14</v>
      </c>
      <c r="AJ34" s="492">
        <v>18</v>
      </c>
      <c r="AK34" s="492">
        <v>12</v>
      </c>
      <c r="AL34" s="493">
        <v>0</v>
      </c>
      <c r="AM34" s="492">
        <v>0</v>
      </c>
      <c r="AN34" s="494">
        <v>12</v>
      </c>
      <c r="AO34" s="493">
        <v>2</v>
      </c>
      <c r="AP34" s="493">
        <v>17</v>
      </c>
      <c r="AQ34" s="561">
        <v>10</v>
      </c>
      <c r="AR34" s="561">
        <v>2.5</v>
      </c>
      <c r="AS34" s="887">
        <v>11.1</v>
      </c>
      <c r="AT34" s="968">
        <v>0</v>
      </c>
      <c r="AU34" s="989">
        <v>4.17</v>
      </c>
      <c r="AV34" s="1083">
        <v>0</v>
      </c>
      <c r="AW34" s="1389">
        <v>1</v>
      </c>
      <c r="AX34" s="1389">
        <v>18.666666666666668</v>
      </c>
      <c r="AY34" s="1676">
        <v>18</v>
      </c>
      <c r="AZ34" s="1676">
        <v>2.5</v>
      </c>
      <c r="BA34" s="1676">
        <v>5</v>
      </c>
      <c r="BB34" s="1596" t="e">
        <f>フェロモントラップ野帳!$I$185</f>
        <v>#N/A</v>
      </c>
    </row>
    <row r="35" spans="1:62" ht="13.5" customHeight="1">
      <c r="A35" s="403"/>
      <c r="B35" s="408"/>
      <c r="C35" s="461" t="s">
        <v>194</v>
      </c>
      <c r="D35" s="482" t="e">
        <f t="shared" ca="1" si="1"/>
        <v>#N/A</v>
      </c>
      <c r="E35" s="547"/>
      <c r="F35" s="779">
        <f t="shared" ca="1" si="3"/>
        <v>3.2326666666666668</v>
      </c>
      <c r="G35" s="462"/>
      <c r="H35" s="463"/>
      <c r="I35" s="464"/>
      <c r="J35" s="465">
        <f t="shared" ca="1" si="4"/>
        <v>3.1333333333333333</v>
      </c>
      <c r="K35" s="715"/>
      <c r="L35" s="738"/>
      <c r="M35" s="490"/>
      <c r="N35" s="491" t="s">
        <v>304</v>
      </c>
      <c r="O35" s="716">
        <v>20</v>
      </c>
      <c r="P35" s="467">
        <v>7</v>
      </c>
      <c r="Q35" s="467">
        <v>24</v>
      </c>
      <c r="R35" s="467">
        <v>1</v>
      </c>
      <c r="S35" s="467">
        <v>34</v>
      </c>
      <c r="T35" s="467">
        <v>4</v>
      </c>
      <c r="U35" s="467">
        <v>11</v>
      </c>
      <c r="V35" s="467">
        <v>0</v>
      </c>
      <c r="W35" s="467">
        <v>3</v>
      </c>
      <c r="X35" s="467">
        <v>0</v>
      </c>
      <c r="Y35" s="467">
        <v>3</v>
      </c>
      <c r="Z35" s="467">
        <v>9</v>
      </c>
      <c r="AA35" s="467">
        <v>14</v>
      </c>
      <c r="AB35" s="467">
        <v>2</v>
      </c>
      <c r="AC35" s="492">
        <v>2</v>
      </c>
      <c r="AD35" s="492">
        <v>13</v>
      </c>
      <c r="AE35" s="492">
        <v>18</v>
      </c>
      <c r="AF35" s="492">
        <v>2</v>
      </c>
      <c r="AG35" s="492">
        <v>8</v>
      </c>
      <c r="AH35" s="492">
        <v>1</v>
      </c>
      <c r="AI35" s="492">
        <v>16</v>
      </c>
      <c r="AJ35" s="492">
        <v>7</v>
      </c>
      <c r="AK35" s="492">
        <v>1</v>
      </c>
      <c r="AL35" s="493">
        <v>10</v>
      </c>
      <c r="AM35" s="492">
        <v>4</v>
      </c>
      <c r="AN35" s="494">
        <v>2</v>
      </c>
      <c r="AO35" s="493">
        <v>7</v>
      </c>
      <c r="AP35" s="493">
        <v>7</v>
      </c>
      <c r="AQ35" s="561">
        <v>2.9</v>
      </c>
      <c r="AR35" s="561">
        <v>14</v>
      </c>
      <c r="AS35" s="887">
        <v>0</v>
      </c>
      <c r="AT35" s="968">
        <v>0</v>
      </c>
      <c r="AU35" s="989">
        <v>1.83</v>
      </c>
      <c r="AV35" s="1083">
        <v>0.83</v>
      </c>
      <c r="AW35" s="1389">
        <v>2</v>
      </c>
      <c r="AX35" s="1389">
        <v>10</v>
      </c>
      <c r="AY35" s="1676">
        <v>0</v>
      </c>
      <c r="AZ35" s="1676">
        <v>2</v>
      </c>
      <c r="BA35" s="1676">
        <v>1.6666666666666665</v>
      </c>
      <c r="BB35" s="1596" t="e">
        <f>フェロモントラップ野帳!$I$190</f>
        <v>#N/A</v>
      </c>
    </row>
    <row r="36" spans="1:62" ht="13.5" customHeight="1" thickBot="1">
      <c r="A36" s="403"/>
      <c r="B36" s="472"/>
      <c r="C36" s="448" t="s">
        <v>195</v>
      </c>
      <c r="D36" s="506" t="e">
        <f t="shared" ca="1" si="1"/>
        <v>#N/A</v>
      </c>
      <c r="E36" s="549"/>
      <c r="F36" s="1608">
        <f t="shared" ca="1" si="3"/>
        <v>2.5740000000000003</v>
      </c>
      <c r="G36" s="473"/>
      <c r="H36" s="474"/>
      <c r="I36" s="475"/>
      <c r="J36" s="476">
        <f t="shared" ca="1" si="4"/>
        <v>2.5140000000000002</v>
      </c>
      <c r="K36" s="717"/>
      <c r="L36" s="738"/>
      <c r="M36" s="508"/>
      <c r="N36" s="509" t="s">
        <v>305</v>
      </c>
      <c r="O36" s="727">
        <v>8</v>
      </c>
      <c r="P36" s="531">
        <v>7</v>
      </c>
      <c r="Q36" s="531">
        <v>27</v>
      </c>
      <c r="R36" s="531">
        <v>20</v>
      </c>
      <c r="S36" s="531">
        <v>19</v>
      </c>
      <c r="T36" s="531">
        <v>0</v>
      </c>
      <c r="U36" s="531">
        <v>10</v>
      </c>
      <c r="V36" s="531">
        <v>1</v>
      </c>
      <c r="W36" s="531">
        <v>10</v>
      </c>
      <c r="X36" s="531">
        <v>1</v>
      </c>
      <c r="Y36" s="531">
        <v>8</v>
      </c>
      <c r="Z36" s="531">
        <v>4</v>
      </c>
      <c r="AA36" s="531">
        <v>17</v>
      </c>
      <c r="AB36" s="531">
        <v>0</v>
      </c>
      <c r="AC36" s="500">
        <v>3</v>
      </c>
      <c r="AD36" s="500">
        <v>3</v>
      </c>
      <c r="AE36" s="500">
        <v>3</v>
      </c>
      <c r="AF36" s="500">
        <v>3</v>
      </c>
      <c r="AG36" s="500">
        <v>7</v>
      </c>
      <c r="AH36" s="500">
        <v>10</v>
      </c>
      <c r="AI36" s="500">
        <v>15</v>
      </c>
      <c r="AJ36" s="500">
        <v>3</v>
      </c>
      <c r="AK36" s="500">
        <v>5</v>
      </c>
      <c r="AL36" s="501">
        <v>7</v>
      </c>
      <c r="AM36" s="500">
        <v>3</v>
      </c>
      <c r="AN36" s="502">
        <v>2</v>
      </c>
      <c r="AO36" s="501">
        <v>0</v>
      </c>
      <c r="AP36" s="501">
        <v>4.17</v>
      </c>
      <c r="AQ36" s="501">
        <v>1.89</v>
      </c>
      <c r="AR36" s="501">
        <v>10</v>
      </c>
      <c r="AS36" s="880">
        <v>1</v>
      </c>
      <c r="AT36" s="949">
        <v>0</v>
      </c>
      <c r="AU36" s="958">
        <v>2</v>
      </c>
      <c r="AV36" s="1079">
        <v>0.17</v>
      </c>
      <c r="AW36" s="1378">
        <v>2.57</v>
      </c>
      <c r="AX36" s="1378">
        <v>4</v>
      </c>
      <c r="AY36" s="1673">
        <v>0</v>
      </c>
      <c r="AZ36" s="1673">
        <v>6</v>
      </c>
      <c r="BA36" s="1673">
        <v>0</v>
      </c>
      <c r="BB36" s="1593" t="e">
        <f>フェロモントラップ野帳!$I$196</f>
        <v>#N/A</v>
      </c>
    </row>
    <row r="37" spans="1:62" ht="13.5" customHeight="1">
      <c r="A37" s="403"/>
      <c r="B37" s="408"/>
      <c r="C37" s="529" t="s">
        <v>189</v>
      </c>
      <c r="D37" s="482" t="e">
        <f t="shared" ca="1" si="1"/>
        <v>#N/A</v>
      </c>
      <c r="E37" s="547"/>
      <c r="F37" s="779">
        <f t="shared" ca="1" si="3"/>
        <v>1.0444285714285715</v>
      </c>
      <c r="G37" s="462"/>
      <c r="H37" s="452"/>
      <c r="I37" s="453"/>
      <c r="J37" s="454">
        <f t="shared" ca="1" si="4"/>
        <v>0.62885714285714278</v>
      </c>
      <c r="K37" s="715"/>
      <c r="L37" s="738"/>
      <c r="M37" s="490"/>
      <c r="N37" s="484" t="s">
        <v>300</v>
      </c>
      <c r="O37" s="714">
        <v>5</v>
      </c>
      <c r="P37" s="457">
        <v>6</v>
      </c>
      <c r="Q37" s="457">
        <v>19</v>
      </c>
      <c r="R37" s="457">
        <v>26</v>
      </c>
      <c r="S37" s="457">
        <v>19</v>
      </c>
      <c r="T37" s="457">
        <v>3</v>
      </c>
      <c r="U37" s="457">
        <v>15</v>
      </c>
      <c r="V37" s="457">
        <v>1</v>
      </c>
      <c r="W37" s="457">
        <v>50</v>
      </c>
      <c r="X37" s="457">
        <v>5</v>
      </c>
      <c r="Y37" s="457">
        <v>25</v>
      </c>
      <c r="Z37" s="457">
        <v>14</v>
      </c>
      <c r="AA37" s="457">
        <v>27</v>
      </c>
      <c r="AB37" s="457">
        <v>1</v>
      </c>
      <c r="AC37" s="485">
        <v>6</v>
      </c>
      <c r="AD37" s="485">
        <v>7</v>
      </c>
      <c r="AE37" s="485">
        <v>6</v>
      </c>
      <c r="AF37" s="485">
        <v>4</v>
      </c>
      <c r="AG37" s="485">
        <v>6</v>
      </c>
      <c r="AH37" s="485">
        <v>2</v>
      </c>
      <c r="AI37" s="485">
        <v>14</v>
      </c>
      <c r="AJ37" s="485">
        <v>2</v>
      </c>
      <c r="AK37" s="485">
        <v>0</v>
      </c>
      <c r="AL37" s="486">
        <v>2</v>
      </c>
      <c r="AM37" s="485">
        <v>1</v>
      </c>
      <c r="AN37" s="487">
        <v>9</v>
      </c>
      <c r="AO37" s="486">
        <v>0</v>
      </c>
      <c r="AP37" s="486">
        <v>0</v>
      </c>
      <c r="AQ37" s="486">
        <v>0</v>
      </c>
      <c r="AR37" s="486">
        <v>1</v>
      </c>
      <c r="AS37" s="881">
        <v>0.3</v>
      </c>
      <c r="AT37" s="947">
        <v>0</v>
      </c>
      <c r="AU37" s="956">
        <v>6</v>
      </c>
      <c r="AV37" s="1077">
        <v>0</v>
      </c>
      <c r="AW37" s="1376">
        <v>0.43</v>
      </c>
      <c r="AX37" s="1376">
        <v>0.71428571428571419</v>
      </c>
      <c r="AY37" s="1671">
        <v>1</v>
      </c>
      <c r="AZ37" s="1671">
        <v>1</v>
      </c>
      <c r="BA37" s="1671">
        <v>0</v>
      </c>
      <c r="BB37" s="1591" t="e">
        <f>フェロモントラップ野帳!$I$210</f>
        <v>#N/A</v>
      </c>
    </row>
    <row r="38" spans="1:62" ht="13.5" customHeight="1">
      <c r="A38" s="403"/>
      <c r="B38" s="408"/>
      <c r="C38" s="461" t="s">
        <v>190</v>
      </c>
      <c r="D38" s="482" t="e">
        <f t="shared" ca="1" si="1"/>
        <v>#N/A</v>
      </c>
      <c r="E38" s="547"/>
      <c r="F38" s="779">
        <f t="shared" ca="1" si="3"/>
        <v>0.9414285714285715</v>
      </c>
      <c r="G38" s="462"/>
      <c r="H38" s="463"/>
      <c r="I38" s="464"/>
      <c r="J38" s="465">
        <f t="shared" ca="1" si="4"/>
        <v>1.3428571428571427</v>
      </c>
      <c r="K38" s="715"/>
      <c r="L38" s="738"/>
      <c r="M38" s="490"/>
      <c r="N38" s="491" t="s">
        <v>301</v>
      </c>
      <c r="O38" s="716">
        <v>6</v>
      </c>
      <c r="P38" s="467">
        <v>12</v>
      </c>
      <c r="Q38" s="467">
        <v>11</v>
      </c>
      <c r="R38" s="467">
        <v>6</v>
      </c>
      <c r="S38" s="467">
        <v>7</v>
      </c>
      <c r="T38" s="467">
        <v>1</v>
      </c>
      <c r="U38" s="467">
        <v>4</v>
      </c>
      <c r="V38" s="467">
        <v>0</v>
      </c>
      <c r="W38" s="467">
        <v>11</v>
      </c>
      <c r="X38" s="467">
        <v>1</v>
      </c>
      <c r="Y38" s="467">
        <v>18</v>
      </c>
      <c r="Z38" s="467">
        <v>1</v>
      </c>
      <c r="AA38" s="467">
        <v>13</v>
      </c>
      <c r="AB38" s="467">
        <v>0</v>
      </c>
      <c r="AC38" s="492">
        <v>2</v>
      </c>
      <c r="AD38" s="492">
        <v>3</v>
      </c>
      <c r="AE38" s="492">
        <v>9</v>
      </c>
      <c r="AF38" s="492">
        <v>4</v>
      </c>
      <c r="AG38" s="492">
        <v>2</v>
      </c>
      <c r="AH38" s="492">
        <v>4</v>
      </c>
      <c r="AI38" s="492">
        <v>2</v>
      </c>
      <c r="AJ38" s="492">
        <v>1</v>
      </c>
      <c r="AK38" s="492">
        <v>1</v>
      </c>
      <c r="AL38" s="493">
        <v>2</v>
      </c>
      <c r="AM38" s="492">
        <v>0</v>
      </c>
      <c r="AN38" s="494">
        <v>5</v>
      </c>
      <c r="AO38" s="493">
        <v>0</v>
      </c>
      <c r="AP38" s="493">
        <v>1.67</v>
      </c>
      <c r="AQ38" s="493">
        <v>1</v>
      </c>
      <c r="AR38" s="493">
        <v>0</v>
      </c>
      <c r="AS38" s="877">
        <v>1</v>
      </c>
      <c r="AT38" s="948">
        <v>0</v>
      </c>
      <c r="AU38" s="957">
        <v>1.7</v>
      </c>
      <c r="AV38" s="1078">
        <v>0</v>
      </c>
      <c r="AW38" s="1377">
        <v>1</v>
      </c>
      <c r="AX38" s="1377">
        <v>0.28571428571428581</v>
      </c>
      <c r="AY38" s="1672">
        <v>4</v>
      </c>
      <c r="AZ38" s="1672">
        <v>1.4285714285714284</v>
      </c>
      <c r="BA38" s="1672">
        <v>0</v>
      </c>
      <c r="BB38" s="1592" t="e">
        <f>フェロモントラップ野帳!$I$215</f>
        <v>#N/A</v>
      </c>
    </row>
    <row r="39" spans="1:62" ht="13.5" customHeight="1">
      <c r="A39" s="403"/>
      <c r="B39" s="408" t="s">
        <v>201</v>
      </c>
      <c r="C39" s="461" t="s">
        <v>192</v>
      </c>
      <c r="D39" s="482" t="e">
        <f t="shared" ca="1" si="1"/>
        <v>#N/A</v>
      </c>
      <c r="E39" s="547"/>
      <c r="F39" s="779">
        <f t="shared" ca="1" si="3"/>
        <v>0.55333333333333334</v>
      </c>
      <c r="G39" s="462"/>
      <c r="H39" s="463"/>
      <c r="I39" s="464"/>
      <c r="J39" s="465">
        <f t="shared" ca="1" si="4"/>
        <v>0.76666666666666661</v>
      </c>
      <c r="K39" s="715"/>
      <c r="L39" s="738"/>
      <c r="M39" s="490" t="s">
        <v>290</v>
      </c>
      <c r="N39" s="491" t="s">
        <v>302</v>
      </c>
      <c r="O39" s="716">
        <v>3</v>
      </c>
      <c r="P39" s="467">
        <v>15</v>
      </c>
      <c r="Q39" s="467">
        <v>1</v>
      </c>
      <c r="R39" s="467">
        <v>2</v>
      </c>
      <c r="S39" s="467">
        <v>37</v>
      </c>
      <c r="T39" s="467">
        <v>1</v>
      </c>
      <c r="U39" s="467">
        <v>40</v>
      </c>
      <c r="V39" s="467">
        <v>0</v>
      </c>
      <c r="W39" s="467">
        <v>13</v>
      </c>
      <c r="X39" s="467">
        <v>0</v>
      </c>
      <c r="Y39" s="467">
        <v>5</v>
      </c>
      <c r="Z39" s="467">
        <v>5</v>
      </c>
      <c r="AA39" s="467">
        <v>2</v>
      </c>
      <c r="AB39" s="467">
        <v>3</v>
      </c>
      <c r="AC39" s="492">
        <v>1</v>
      </c>
      <c r="AD39" s="492">
        <v>1</v>
      </c>
      <c r="AE39" s="492">
        <v>18</v>
      </c>
      <c r="AF39" s="492">
        <v>16</v>
      </c>
      <c r="AG39" s="492">
        <v>4</v>
      </c>
      <c r="AH39" s="492">
        <v>2</v>
      </c>
      <c r="AI39" s="492">
        <v>1</v>
      </c>
      <c r="AJ39" s="492">
        <v>2</v>
      </c>
      <c r="AK39" s="492">
        <v>13</v>
      </c>
      <c r="AL39" s="493">
        <v>0</v>
      </c>
      <c r="AM39" s="492">
        <v>0</v>
      </c>
      <c r="AN39" s="494">
        <v>3</v>
      </c>
      <c r="AO39" s="493">
        <v>2</v>
      </c>
      <c r="AP39" s="493">
        <v>1.25</v>
      </c>
      <c r="AQ39" s="493">
        <v>0.7</v>
      </c>
      <c r="AR39" s="493">
        <v>0</v>
      </c>
      <c r="AS39" s="877">
        <v>1.7</v>
      </c>
      <c r="AT39" s="948">
        <v>0</v>
      </c>
      <c r="AU39" s="957">
        <v>0</v>
      </c>
      <c r="AV39" s="1078">
        <v>0</v>
      </c>
      <c r="AW39" s="1377">
        <v>0</v>
      </c>
      <c r="AX39" s="1377">
        <v>0</v>
      </c>
      <c r="AY39" s="1672">
        <v>2.5</v>
      </c>
      <c r="AZ39" s="1672">
        <v>0</v>
      </c>
      <c r="BA39" s="1672">
        <v>1.3333333333333333</v>
      </c>
      <c r="BB39" s="1592" t="e">
        <f>フェロモントラップ野帳!$I$220</f>
        <v>#N/A</v>
      </c>
      <c r="BC39" s="1163"/>
      <c r="BD39" s="1163"/>
      <c r="BE39" s="1163"/>
      <c r="BF39" s="1163"/>
      <c r="BG39" s="1163"/>
      <c r="BH39" s="1163"/>
      <c r="BI39" s="1163"/>
      <c r="BJ39" s="912"/>
    </row>
    <row r="40" spans="1:62" ht="13.5" customHeight="1">
      <c r="A40" s="403"/>
      <c r="B40" s="408"/>
      <c r="C40" s="461" t="s">
        <v>193</v>
      </c>
      <c r="D40" s="482" t="e">
        <f t="shared" ca="1" si="1"/>
        <v>#N/A</v>
      </c>
      <c r="E40" s="547"/>
      <c r="F40" s="779">
        <f t="shared" ca="1" si="3"/>
        <v>0.80099999999999993</v>
      </c>
      <c r="G40" s="462"/>
      <c r="H40" s="463"/>
      <c r="I40" s="464"/>
      <c r="J40" s="465">
        <f t="shared" ca="1" si="4"/>
        <v>0.74199999999999999</v>
      </c>
      <c r="K40" s="715"/>
      <c r="L40" s="738"/>
      <c r="M40" s="490"/>
      <c r="N40" s="491" t="s">
        <v>303</v>
      </c>
      <c r="O40" s="716">
        <v>5</v>
      </c>
      <c r="P40" s="467">
        <v>3</v>
      </c>
      <c r="Q40" s="467">
        <v>3</v>
      </c>
      <c r="R40" s="467">
        <v>1</v>
      </c>
      <c r="S40" s="467">
        <v>8</v>
      </c>
      <c r="T40" s="467">
        <v>0</v>
      </c>
      <c r="U40" s="467">
        <v>50</v>
      </c>
      <c r="V40" s="467">
        <v>0</v>
      </c>
      <c r="W40" s="467">
        <v>2</v>
      </c>
      <c r="X40" s="467">
        <v>0</v>
      </c>
      <c r="Y40" s="467">
        <v>7</v>
      </c>
      <c r="Z40" s="467">
        <v>2</v>
      </c>
      <c r="AA40" s="467">
        <v>0</v>
      </c>
      <c r="AB40" s="467">
        <v>1</v>
      </c>
      <c r="AC40" s="492">
        <v>0</v>
      </c>
      <c r="AD40" s="492">
        <v>6</v>
      </c>
      <c r="AE40" s="492">
        <v>10</v>
      </c>
      <c r="AF40" s="492">
        <v>2</v>
      </c>
      <c r="AG40" s="492">
        <v>5</v>
      </c>
      <c r="AH40" s="492">
        <v>0</v>
      </c>
      <c r="AI40" s="492">
        <v>7</v>
      </c>
      <c r="AJ40" s="492">
        <v>3</v>
      </c>
      <c r="AK40" s="492">
        <v>10</v>
      </c>
      <c r="AL40" s="493">
        <v>0</v>
      </c>
      <c r="AM40" s="492">
        <v>0</v>
      </c>
      <c r="AN40" s="494">
        <v>5</v>
      </c>
      <c r="AO40" s="493">
        <v>0</v>
      </c>
      <c r="AP40" s="493">
        <v>0</v>
      </c>
      <c r="AQ40" s="493">
        <v>1.8</v>
      </c>
      <c r="AR40" s="493">
        <v>3.3</v>
      </c>
      <c r="AS40" s="877">
        <v>1</v>
      </c>
      <c r="AT40" s="948">
        <v>0</v>
      </c>
      <c r="AU40" s="957">
        <v>0</v>
      </c>
      <c r="AV40" s="1078">
        <v>0</v>
      </c>
      <c r="AW40" s="1377">
        <v>0.71</v>
      </c>
      <c r="AX40" s="1377">
        <v>0</v>
      </c>
      <c r="AY40" s="1672">
        <v>2</v>
      </c>
      <c r="AZ40" s="1672">
        <v>0</v>
      </c>
      <c r="BA40" s="1672">
        <v>1</v>
      </c>
      <c r="BB40" s="1592" t="e">
        <f>フェロモントラップ野帳!$I$225</f>
        <v>#N/A</v>
      </c>
    </row>
    <row r="41" spans="1:62" ht="13.5" customHeight="1">
      <c r="A41" s="403"/>
      <c r="B41" s="408"/>
      <c r="C41" s="461" t="s">
        <v>194</v>
      </c>
      <c r="D41" s="482" t="e">
        <f t="shared" ca="1" si="1"/>
        <v>#N/A</v>
      </c>
      <c r="E41" s="547"/>
      <c r="F41" s="779">
        <f t="shared" ca="1" si="3"/>
        <v>0.48233333333333334</v>
      </c>
      <c r="G41" s="462"/>
      <c r="H41" s="463"/>
      <c r="I41" s="464"/>
      <c r="J41" s="465">
        <f t="shared" ca="1" si="4"/>
        <v>0.42466666666666664</v>
      </c>
      <c r="K41" s="715"/>
      <c r="L41" s="738"/>
      <c r="M41" s="490"/>
      <c r="N41" s="491" t="s">
        <v>304</v>
      </c>
      <c r="O41" s="716">
        <v>8</v>
      </c>
      <c r="P41" s="467">
        <v>22</v>
      </c>
      <c r="Q41" s="467">
        <v>11</v>
      </c>
      <c r="R41" s="467">
        <v>0</v>
      </c>
      <c r="S41" s="467">
        <v>14</v>
      </c>
      <c r="T41" s="467">
        <v>19</v>
      </c>
      <c r="U41" s="467">
        <v>26</v>
      </c>
      <c r="V41" s="467">
        <v>0</v>
      </c>
      <c r="W41" s="467">
        <v>1</v>
      </c>
      <c r="X41" s="467">
        <v>1</v>
      </c>
      <c r="Y41" s="467">
        <v>15</v>
      </c>
      <c r="Z41" s="467">
        <v>1</v>
      </c>
      <c r="AA41" s="467">
        <v>7</v>
      </c>
      <c r="AB41" s="467">
        <v>1</v>
      </c>
      <c r="AC41" s="492">
        <v>1</v>
      </c>
      <c r="AD41" s="492">
        <v>5</v>
      </c>
      <c r="AE41" s="492">
        <v>2</v>
      </c>
      <c r="AF41" s="492">
        <v>6</v>
      </c>
      <c r="AG41" s="492">
        <v>3</v>
      </c>
      <c r="AH41" s="492">
        <v>0</v>
      </c>
      <c r="AI41" s="492">
        <v>1</v>
      </c>
      <c r="AJ41" s="492">
        <v>1</v>
      </c>
      <c r="AK41" s="492">
        <v>25</v>
      </c>
      <c r="AL41" s="493">
        <v>0</v>
      </c>
      <c r="AM41" s="492">
        <v>0</v>
      </c>
      <c r="AN41" s="494">
        <v>0</v>
      </c>
      <c r="AO41" s="493">
        <v>0</v>
      </c>
      <c r="AP41" s="493">
        <v>1</v>
      </c>
      <c r="AQ41" s="493">
        <v>2.1</v>
      </c>
      <c r="AR41" s="493">
        <v>2.7</v>
      </c>
      <c r="AS41" s="877">
        <v>0</v>
      </c>
      <c r="AT41" s="948">
        <v>0</v>
      </c>
      <c r="AU41" s="957">
        <v>0</v>
      </c>
      <c r="AV41" s="1078">
        <v>0</v>
      </c>
      <c r="AW41" s="1377">
        <v>1.29</v>
      </c>
      <c r="AX41" s="1377">
        <v>0</v>
      </c>
      <c r="AY41" s="1672">
        <v>0</v>
      </c>
      <c r="AZ41" s="1672">
        <v>0</v>
      </c>
      <c r="BA41" s="1672">
        <v>0.83333333333333326</v>
      </c>
      <c r="BB41" s="1592" t="e">
        <f>フェロモントラップ野帳!$I$230</f>
        <v>#N/A</v>
      </c>
    </row>
    <row r="42" spans="1:62" ht="13.5" customHeight="1" thickBot="1">
      <c r="A42" s="403"/>
      <c r="B42" s="408"/>
      <c r="C42" s="448" t="s">
        <v>195</v>
      </c>
      <c r="D42" s="506" t="e">
        <f t="shared" ca="1" si="1"/>
        <v>#N/A</v>
      </c>
      <c r="E42" s="549"/>
      <c r="F42" s="1608">
        <f t="shared" ca="1" si="3"/>
        <v>1.0633333333333335</v>
      </c>
      <c r="G42" s="473"/>
      <c r="H42" s="474"/>
      <c r="I42" s="475"/>
      <c r="J42" s="476">
        <f t="shared" ca="1" si="4"/>
        <v>1.7666666666666668</v>
      </c>
      <c r="K42" s="717"/>
      <c r="L42" s="738"/>
      <c r="M42" s="490"/>
      <c r="N42" s="509" t="s">
        <v>305</v>
      </c>
      <c r="O42" s="718">
        <v>1</v>
      </c>
      <c r="P42" s="478">
        <v>14</v>
      </c>
      <c r="Q42" s="478">
        <v>6</v>
      </c>
      <c r="R42" s="478">
        <v>21</v>
      </c>
      <c r="S42" s="478">
        <v>7</v>
      </c>
      <c r="T42" s="478">
        <v>8</v>
      </c>
      <c r="U42" s="478">
        <v>13</v>
      </c>
      <c r="V42" s="478">
        <v>0</v>
      </c>
      <c r="W42" s="478">
        <v>1</v>
      </c>
      <c r="X42" s="478">
        <v>3</v>
      </c>
      <c r="Y42" s="478">
        <v>20</v>
      </c>
      <c r="Z42" s="478">
        <v>1</v>
      </c>
      <c r="AA42" s="478">
        <v>0</v>
      </c>
      <c r="AB42" s="478">
        <v>0</v>
      </c>
      <c r="AC42" s="510">
        <v>3</v>
      </c>
      <c r="AD42" s="510">
        <v>2</v>
      </c>
      <c r="AE42" s="510">
        <v>1</v>
      </c>
      <c r="AF42" s="510">
        <v>5</v>
      </c>
      <c r="AG42" s="510">
        <v>2</v>
      </c>
      <c r="AH42" s="510">
        <v>0</v>
      </c>
      <c r="AI42" s="510">
        <v>5</v>
      </c>
      <c r="AJ42" s="510">
        <v>2</v>
      </c>
      <c r="AK42" s="510">
        <v>8.3000000000000007</v>
      </c>
      <c r="AL42" s="511">
        <v>0</v>
      </c>
      <c r="AM42" s="510">
        <v>0</v>
      </c>
      <c r="AN42" s="512">
        <v>0</v>
      </c>
      <c r="AO42" s="511">
        <v>0</v>
      </c>
      <c r="AP42" s="511">
        <v>0</v>
      </c>
      <c r="AQ42" s="511">
        <v>5</v>
      </c>
      <c r="AR42" s="501">
        <v>1</v>
      </c>
      <c r="AS42" s="880">
        <v>0.8</v>
      </c>
      <c r="AT42" s="949">
        <v>0</v>
      </c>
      <c r="AU42" s="958">
        <v>0</v>
      </c>
      <c r="AV42" s="1079">
        <v>0</v>
      </c>
      <c r="AW42" s="1378">
        <v>8</v>
      </c>
      <c r="AX42" s="1378">
        <v>0</v>
      </c>
      <c r="AY42" s="1673">
        <v>0</v>
      </c>
      <c r="AZ42" s="1673">
        <v>0</v>
      </c>
      <c r="BA42" s="1673">
        <v>0.83333333333333326</v>
      </c>
      <c r="BB42" s="1593" t="e">
        <f>フェロモントラップ野帳!$I$230</f>
        <v>#N/A</v>
      </c>
    </row>
    <row r="43" spans="1:62" ht="13.5" customHeight="1">
      <c r="A43" s="403"/>
      <c r="B43" s="407"/>
      <c r="C43" s="529" t="s">
        <v>189</v>
      </c>
      <c r="D43" s="482" t="e">
        <f t="shared" ca="1" si="1"/>
        <v>#N/A</v>
      </c>
      <c r="E43" s="547"/>
      <c r="F43" s="779">
        <f t="shared" ca="1" si="3"/>
        <v>0.91761904761904756</v>
      </c>
      <c r="G43" s="462"/>
      <c r="H43" s="452"/>
      <c r="I43" s="453"/>
      <c r="J43" s="454">
        <f t="shared" ca="1" si="4"/>
        <v>0.7952380952380953</v>
      </c>
      <c r="K43" s="715"/>
      <c r="L43" s="738"/>
      <c r="M43" s="434"/>
      <c r="N43" s="484" t="s">
        <v>300</v>
      </c>
      <c r="O43" s="720">
        <v>2</v>
      </c>
      <c r="P43" s="517">
        <v>3</v>
      </c>
      <c r="Q43" s="517">
        <v>2</v>
      </c>
      <c r="R43" s="517">
        <v>11</v>
      </c>
      <c r="S43" s="517">
        <v>13</v>
      </c>
      <c r="T43" s="517">
        <v>5</v>
      </c>
      <c r="U43" s="517">
        <v>25</v>
      </c>
      <c r="V43" s="517">
        <v>0</v>
      </c>
      <c r="W43" s="517">
        <v>24</v>
      </c>
      <c r="X43" s="517">
        <v>1</v>
      </c>
      <c r="Y43" s="517">
        <v>6</v>
      </c>
      <c r="Z43" s="517">
        <v>0</v>
      </c>
      <c r="AA43" s="517">
        <v>3</v>
      </c>
      <c r="AB43" s="517">
        <v>0</v>
      </c>
      <c r="AC43" s="518">
        <v>0</v>
      </c>
      <c r="AD43" s="518">
        <v>1</v>
      </c>
      <c r="AE43" s="518">
        <v>1</v>
      </c>
      <c r="AF43" s="518">
        <v>3</v>
      </c>
      <c r="AG43" s="518">
        <v>4</v>
      </c>
      <c r="AH43" s="518">
        <v>0</v>
      </c>
      <c r="AI43" s="518">
        <v>3</v>
      </c>
      <c r="AJ43" s="518">
        <v>0</v>
      </c>
      <c r="AK43" s="518">
        <v>9</v>
      </c>
      <c r="AL43" s="519">
        <v>0</v>
      </c>
      <c r="AM43" s="518">
        <v>0</v>
      </c>
      <c r="AN43" s="520">
        <v>0</v>
      </c>
      <c r="AO43" s="519">
        <v>0</v>
      </c>
      <c r="AP43" s="519">
        <v>1</v>
      </c>
      <c r="AQ43" s="519">
        <v>0</v>
      </c>
      <c r="AR43" s="486">
        <v>1</v>
      </c>
      <c r="AS43" s="881">
        <v>3.2</v>
      </c>
      <c r="AT43" s="947">
        <v>0</v>
      </c>
      <c r="AU43" s="956">
        <v>1</v>
      </c>
      <c r="AV43" s="1077">
        <v>0</v>
      </c>
      <c r="AW43" s="1376">
        <v>0</v>
      </c>
      <c r="AX43" s="1376">
        <v>0</v>
      </c>
      <c r="AY43" s="1671">
        <v>0.83333333333333326</v>
      </c>
      <c r="AZ43" s="1671">
        <v>1</v>
      </c>
      <c r="BA43" s="1671">
        <v>2.1428571428571428</v>
      </c>
      <c r="BB43" s="1591" t="e">
        <f>フェロモントラップ野帳!$I$250</f>
        <v>#N/A</v>
      </c>
    </row>
    <row r="44" spans="1:62" ht="13.5" customHeight="1">
      <c r="A44" s="403"/>
      <c r="B44" s="408"/>
      <c r="C44" s="461" t="s">
        <v>190</v>
      </c>
      <c r="D44" s="482" t="e">
        <f t="shared" ca="1" si="1"/>
        <v>#N/A</v>
      </c>
      <c r="E44" s="547"/>
      <c r="F44" s="779">
        <f t="shared" ca="1" si="3"/>
        <v>0.48571428571428565</v>
      </c>
      <c r="G44" s="462"/>
      <c r="H44" s="463"/>
      <c r="I44" s="464"/>
      <c r="J44" s="465">
        <f t="shared" ca="1" si="4"/>
        <v>0.37142857142857144</v>
      </c>
      <c r="K44" s="715"/>
      <c r="L44" s="738"/>
      <c r="M44" s="490"/>
      <c r="N44" s="491" t="s">
        <v>301</v>
      </c>
      <c r="O44" s="716">
        <v>31</v>
      </c>
      <c r="P44" s="467">
        <v>5</v>
      </c>
      <c r="Q44" s="467">
        <v>0</v>
      </c>
      <c r="R44" s="467">
        <v>8</v>
      </c>
      <c r="S44" s="467">
        <v>13</v>
      </c>
      <c r="T44" s="467">
        <v>1</v>
      </c>
      <c r="U44" s="467">
        <v>9</v>
      </c>
      <c r="V44" s="467">
        <v>1</v>
      </c>
      <c r="W44" s="467">
        <v>1</v>
      </c>
      <c r="X44" s="467">
        <v>2</v>
      </c>
      <c r="Y44" s="467">
        <v>5</v>
      </c>
      <c r="Z44" s="467">
        <v>21</v>
      </c>
      <c r="AA44" s="467">
        <v>4</v>
      </c>
      <c r="AB44" s="467">
        <v>0</v>
      </c>
      <c r="AC44" s="492">
        <v>1</v>
      </c>
      <c r="AD44" s="492">
        <v>1</v>
      </c>
      <c r="AE44" s="492">
        <v>0</v>
      </c>
      <c r="AF44" s="492">
        <v>1</v>
      </c>
      <c r="AG44" s="492">
        <v>8</v>
      </c>
      <c r="AH44" s="492">
        <v>1</v>
      </c>
      <c r="AI44" s="492">
        <v>1</v>
      </c>
      <c r="AJ44" s="492">
        <v>7</v>
      </c>
      <c r="AK44" s="492">
        <v>12</v>
      </c>
      <c r="AL44" s="493">
        <v>0</v>
      </c>
      <c r="AM44" s="492">
        <v>0</v>
      </c>
      <c r="AN44" s="494">
        <v>0</v>
      </c>
      <c r="AO44" s="493">
        <v>2</v>
      </c>
      <c r="AP44" s="493">
        <v>1.67</v>
      </c>
      <c r="AQ44" s="493">
        <v>0</v>
      </c>
      <c r="AR44" s="493">
        <v>0</v>
      </c>
      <c r="AS44" s="877">
        <v>0</v>
      </c>
      <c r="AT44" s="948">
        <v>0</v>
      </c>
      <c r="AU44" s="957">
        <v>3</v>
      </c>
      <c r="AV44" s="1078">
        <v>0</v>
      </c>
      <c r="AW44" s="1377">
        <v>1</v>
      </c>
      <c r="AX44" s="1377">
        <v>0</v>
      </c>
      <c r="AY44" s="1672">
        <v>0</v>
      </c>
      <c r="AZ44" s="1672">
        <v>0</v>
      </c>
      <c r="BA44" s="1672">
        <v>0.8571428571428571</v>
      </c>
      <c r="BB44" s="1592" t="e">
        <f>フェロモントラップ野帳!$I$255</f>
        <v>#N/A</v>
      </c>
    </row>
    <row r="45" spans="1:62" ht="13.5" customHeight="1">
      <c r="A45" s="403"/>
      <c r="B45" s="408" t="s">
        <v>202</v>
      </c>
      <c r="C45" s="461" t="s">
        <v>192</v>
      </c>
      <c r="D45" s="482" t="e">
        <f t="shared" ca="1" si="1"/>
        <v>#N/A</v>
      </c>
      <c r="E45" s="547"/>
      <c r="F45" s="779">
        <f t="shared" ca="1" si="3"/>
        <v>0.41699999999999998</v>
      </c>
      <c r="G45" s="462"/>
      <c r="H45" s="463"/>
      <c r="I45" s="464"/>
      <c r="J45" s="465">
        <f t="shared" ca="1" si="4"/>
        <v>0.5</v>
      </c>
      <c r="K45" s="715"/>
      <c r="L45" s="738"/>
      <c r="M45" s="490" t="s">
        <v>291</v>
      </c>
      <c r="N45" s="491" t="s">
        <v>302</v>
      </c>
      <c r="O45" s="716">
        <v>61</v>
      </c>
      <c r="P45" s="467">
        <v>5</v>
      </c>
      <c r="Q45" s="467">
        <v>9</v>
      </c>
      <c r="R45" s="467">
        <v>30</v>
      </c>
      <c r="S45" s="467">
        <v>66</v>
      </c>
      <c r="T45" s="467">
        <v>1</v>
      </c>
      <c r="U45" s="467">
        <v>16</v>
      </c>
      <c r="V45" s="467">
        <v>0</v>
      </c>
      <c r="W45" s="467">
        <v>1</v>
      </c>
      <c r="X45" s="467">
        <v>3</v>
      </c>
      <c r="Y45" s="467">
        <v>2</v>
      </c>
      <c r="Z45" s="467">
        <v>6</v>
      </c>
      <c r="AA45" s="467">
        <v>1</v>
      </c>
      <c r="AB45" s="467">
        <v>0</v>
      </c>
      <c r="AC45" s="492">
        <v>2</v>
      </c>
      <c r="AD45" s="492">
        <v>5</v>
      </c>
      <c r="AE45" s="492">
        <v>0</v>
      </c>
      <c r="AF45" s="492">
        <v>1</v>
      </c>
      <c r="AG45" s="492">
        <v>5</v>
      </c>
      <c r="AH45" s="492">
        <v>0</v>
      </c>
      <c r="AI45" s="492">
        <v>5</v>
      </c>
      <c r="AJ45" s="492">
        <v>4</v>
      </c>
      <c r="AK45" s="492">
        <v>2</v>
      </c>
      <c r="AL45" s="493">
        <v>0</v>
      </c>
      <c r="AM45" s="492">
        <v>0</v>
      </c>
      <c r="AN45" s="494">
        <v>4</v>
      </c>
      <c r="AO45" s="493">
        <v>0</v>
      </c>
      <c r="AP45" s="493">
        <v>1.1299999999999999</v>
      </c>
      <c r="AQ45" s="493">
        <v>2.1</v>
      </c>
      <c r="AR45" s="493">
        <v>0</v>
      </c>
      <c r="AS45" s="877">
        <v>0</v>
      </c>
      <c r="AT45" s="948">
        <v>0</v>
      </c>
      <c r="AU45" s="957">
        <v>1.67</v>
      </c>
      <c r="AV45" s="1078">
        <v>0</v>
      </c>
      <c r="AW45" s="1377">
        <v>0</v>
      </c>
      <c r="AX45" s="1377">
        <v>0</v>
      </c>
      <c r="AY45" s="1672">
        <v>0</v>
      </c>
      <c r="AZ45" s="1672">
        <v>0</v>
      </c>
      <c r="BA45" s="1672">
        <v>2.5</v>
      </c>
      <c r="BB45" s="1592" t="e">
        <f>フェロモントラップ野帳!$I$260</f>
        <v>#N/A</v>
      </c>
    </row>
    <row r="46" spans="1:62" ht="13.5" customHeight="1">
      <c r="A46" s="403"/>
      <c r="B46" s="408"/>
      <c r="C46" s="461" t="s">
        <v>193</v>
      </c>
      <c r="D46" s="482" t="e">
        <f t="shared" ca="1" si="1"/>
        <v>#N/A</v>
      </c>
      <c r="E46" s="547"/>
      <c r="F46" s="779">
        <f t="shared" ca="1" si="3"/>
        <v>0.65999999999999992</v>
      </c>
      <c r="G46" s="462"/>
      <c r="H46" s="463"/>
      <c r="I46" s="464"/>
      <c r="J46" s="465">
        <f t="shared" ca="1" si="4"/>
        <v>0.94000000000000006</v>
      </c>
      <c r="K46" s="715"/>
      <c r="L46" s="738"/>
      <c r="M46" s="490"/>
      <c r="N46" s="491" t="s">
        <v>303</v>
      </c>
      <c r="O46" s="716">
        <v>4</v>
      </c>
      <c r="P46" s="467">
        <v>9</v>
      </c>
      <c r="Q46" s="467">
        <v>5</v>
      </c>
      <c r="R46" s="467">
        <v>12</v>
      </c>
      <c r="S46" s="467">
        <v>34</v>
      </c>
      <c r="T46" s="467">
        <v>4</v>
      </c>
      <c r="U46" s="467">
        <v>51</v>
      </c>
      <c r="V46" s="467">
        <v>0</v>
      </c>
      <c r="W46" s="467">
        <v>1</v>
      </c>
      <c r="X46" s="467">
        <v>4</v>
      </c>
      <c r="Y46" s="467">
        <v>11</v>
      </c>
      <c r="Z46" s="467">
        <v>6</v>
      </c>
      <c r="AA46" s="467">
        <v>2</v>
      </c>
      <c r="AB46" s="467">
        <v>7</v>
      </c>
      <c r="AC46" s="492">
        <v>0</v>
      </c>
      <c r="AD46" s="492">
        <v>7</v>
      </c>
      <c r="AE46" s="492">
        <v>0</v>
      </c>
      <c r="AF46" s="492">
        <v>0</v>
      </c>
      <c r="AG46" s="492">
        <v>0</v>
      </c>
      <c r="AH46" s="492">
        <v>1</v>
      </c>
      <c r="AI46" s="492">
        <v>0</v>
      </c>
      <c r="AJ46" s="492">
        <v>2</v>
      </c>
      <c r="AK46" s="492">
        <v>1</v>
      </c>
      <c r="AL46" s="493">
        <v>0</v>
      </c>
      <c r="AM46" s="492">
        <v>1</v>
      </c>
      <c r="AN46" s="494">
        <v>16</v>
      </c>
      <c r="AO46" s="493">
        <v>0</v>
      </c>
      <c r="AP46" s="493">
        <v>5.53</v>
      </c>
      <c r="AQ46" s="493">
        <v>0.9</v>
      </c>
      <c r="AR46" s="493">
        <v>1</v>
      </c>
      <c r="AS46" s="877">
        <v>0</v>
      </c>
      <c r="AT46" s="948">
        <v>0</v>
      </c>
      <c r="AU46" s="957">
        <v>0.9</v>
      </c>
      <c r="AV46" s="1078">
        <v>0</v>
      </c>
      <c r="AW46" s="1377">
        <v>0</v>
      </c>
      <c r="AX46" s="1377">
        <v>0</v>
      </c>
      <c r="AY46" s="1672">
        <v>0</v>
      </c>
      <c r="AZ46" s="1672">
        <v>1</v>
      </c>
      <c r="BA46" s="1672">
        <v>3.7</v>
      </c>
      <c r="BB46" s="1592" t="e">
        <f>フェロモントラップ野帳!$I$265</f>
        <v>#N/A</v>
      </c>
    </row>
    <row r="47" spans="1:62" ht="13.5" customHeight="1">
      <c r="A47" s="403"/>
      <c r="B47" s="408"/>
      <c r="C47" s="461" t="s">
        <v>194</v>
      </c>
      <c r="D47" s="482" t="e">
        <f t="shared" ca="1" si="1"/>
        <v>#N/A</v>
      </c>
      <c r="E47" s="547"/>
      <c r="F47" s="779">
        <f t="shared" ca="1" si="3"/>
        <v>1.413</v>
      </c>
      <c r="G47" s="462"/>
      <c r="H47" s="463"/>
      <c r="I47" s="464"/>
      <c r="J47" s="465">
        <f t="shared" ca="1" si="4"/>
        <v>1.46</v>
      </c>
      <c r="K47" s="715"/>
      <c r="L47" s="738"/>
      <c r="M47" s="490"/>
      <c r="N47" s="491" t="s">
        <v>304</v>
      </c>
      <c r="O47" s="716">
        <v>5</v>
      </c>
      <c r="P47" s="467">
        <v>47</v>
      </c>
      <c r="Q47" s="467">
        <v>45</v>
      </c>
      <c r="R47" s="467">
        <v>12</v>
      </c>
      <c r="S47" s="467">
        <v>26</v>
      </c>
      <c r="T47" s="467">
        <v>7</v>
      </c>
      <c r="U47" s="467">
        <v>42</v>
      </c>
      <c r="V47" s="467">
        <v>1</v>
      </c>
      <c r="W47" s="467">
        <v>0</v>
      </c>
      <c r="X47" s="467">
        <v>9</v>
      </c>
      <c r="Y47" s="467">
        <v>18</v>
      </c>
      <c r="Z47" s="467">
        <v>0</v>
      </c>
      <c r="AA47" s="467">
        <v>1</v>
      </c>
      <c r="AB47" s="467">
        <v>4</v>
      </c>
      <c r="AC47" s="492">
        <v>0</v>
      </c>
      <c r="AD47" s="492">
        <v>4</v>
      </c>
      <c r="AE47" s="492">
        <v>0</v>
      </c>
      <c r="AF47" s="492">
        <v>3</v>
      </c>
      <c r="AG47" s="492">
        <v>0</v>
      </c>
      <c r="AH47" s="492">
        <v>1</v>
      </c>
      <c r="AI47" s="492">
        <v>2</v>
      </c>
      <c r="AJ47" s="492">
        <v>3</v>
      </c>
      <c r="AK47" s="492">
        <v>0</v>
      </c>
      <c r="AL47" s="493">
        <v>0</v>
      </c>
      <c r="AM47" s="492">
        <v>3</v>
      </c>
      <c r="AN47" s="494">
        <v>7</v>
      </c>
      <c r="AO47" s="493">
        <v>0</v>
      </c>
      <c r="AP47" s="493">
        <v>4.67</v>
      </c>
      <c r="AQ47" s="493">
        <v>2</v>
      </c>
      <c r="AR47" s="493">
        <v>4</v>
      </c>
      <c r="AS47" s="877">
        <v>0</v>
      </c>
      <c r="AT47" s="948">
        <v>0</v>
      </c>
      <c r="AU47" s="957">
        <v>0.43</v>
      </c>
      <c r="AV47" s="1078">
        <v>2.4</v>
      </c>
      <c r="AW47" s="1377">
        <v>2.5</v>
      </c>
      <c r="AX47" s="1377">
        <v>0</v>
      </c>
      <c r="AY47" s="1672">
        <v>1</v>
      </c>
      <c r="AZ47" s="1672">
        <v>3</v>
      </c>
      <c r="BA47" s="1672">
        <v>0.8</v>
      </c>
      <c r="BB47" s="1592" t="e">
        <f>フェロモントラップ野帳!$I$270</f>
        <v>#N/A</v>
      </c>
    </row>
    <row r="48" spans="1:62" ht="13.5" customHeight="1" thickBot="1">
      <c r="A48" s="403"/>
      <c r="B48" s="472"/>
      <c r="C48" s="448" t="s">
        <v>195</v>
      </c>
      <c r="D48" s="506" t="e">
        <f t="shared" ca="1" si="1"/>
        <v>#N/A</v>
      </c>
      <c r="E48" s="549"/>
      <c r="F48" s="1607">
        <f t="shared" ca="1" si="3"/>
        <v>0.71</v>
      </c>
      <c r="G48" s="473"/>
      <c r="H48" s="474"/>
      <c r="I48" s="475"/>
      <c r="J48" s="476">
        <f t="shared" ca="1" si="4"/>
        <v>0.7</v>
      </c>
      <c r="K48" s="717"/>
      <c r="L48" s="738"/>
      <c r="M48" s="508"/>
      <c r="N48" s="509" t="s">
        <v>305</v>
      </c>
      <c r="O48" s="727">
        <v>13</v>
      </c>
      <c r="P48" s="531">
        <v>53</v>
      </c>
      <c r="Q48" s="531">
        <v>6</v>
      </c>
      <c r="R48" s="531">
        <v>33</v>
      </c>
      <c r="S48" s="531">
        <v>32</v>
      </c>
      <c r="T48" s="531">
        <v>3</v>
      </c>
      <c r="U48" s="531">
        <v>28</v>
      </c>
      <c r="V48" s="531">
        <v>0</v>
      </c>
      <c r="W48" s="531">
        <v>0</v>
      </c>
      <c r="X48" s="531">
        <v>6</v>
      </c>
      <c r="Y48" s="531">
        <v>1</v>
      </c>
      <c r="Z48" s="531">
        <v>0</v>
      </c>
      <c r="AA48" s="531">
        <v>3</v>
      </c>
      <c r="AB48" s="531">
        <v>1</v>
      </c>
      <c r="AC48" s="500">
        <v>1</v>
      </c>
      <c r="AD48" s="500">
        <v>0</v>
      </c>
      <c r="AE48" s="500">
        <v>0</v>
      </c>
      <c r="AF48" s="500">
        <v>5</v>
      </c>
      <c r="AG48" s="500">
        <v>0</v>
      </c>
      <c r="AH48" s="500">
        <v>0</v>
      </c>
      <c r="AI48" s="500">
        <v>2</v>
      </c>
      <c r="AJ48" s="500">
        <v>0</v>
      </c>
      <c r="AK48" s="500">
        <v>1</v>
      </c>
      <c r="AL48" s="501">
        <v>1</v>
      </c>
      <c r="AM48" s="500">
        <v>0</v>
      </c>
      <c r="AN48" s="502">
        <v>2</v>
      </c>
      <c r="AO48" s="501">
        <v>0</v>
      </c>
      <c r="AP48" s="501">
        <v>3.33</v>
      </c>
      <c r="AQ48" s="501">
        <v>5</v>
      </c>
      <c r="AR48" s="501">
        <v>0</v>
      </c>
      <c r="AS48" s="880">
        <v>0</v>
      </c>
      <c r="AT48" s="949">
        <v>0</v>
      </c>
      <c r="AU48" s="958">
        <v>0</v>
      </c>
      <c r="AV48" s="1079">
        <v>3.6</v>
      </c>
      <c r="AW48" s="1378">
        <v>0.5</v>
      </c>
      <c r="AX48" s="1378">
        <v>0</v>
      </c>
      <c r="AY48" s="1673">
        <v>0</v>
      </c>
      <c r="AZ48" s="1673">
        <v>3</v>
      </c>
      <c r="BA48" s="1673">
        <v>0</v>
      </c>
      <c r="BB48" s="1593" t="e">
        <f>フェロモントラップ野帳!$I$276</f>
        <v>#N/A</v>
      </c>
    </row>
    <row r="49" spans="1:62" ht="13.5" customHeight="1">
      <c r="A49" s="403"/>
      <c r="B49" s="408"/>
      <c r="C49" s="529" t="s">
        <v>189</v>
      </c>
      <c r="D49" s="482" t="e">
        <f t="shared" ca="1" si="1"/>
        <v>#N/A</v>
      </c>
      <c r="E49" s="547"/>
      <c r="F49" s="1606">
        <f t="shared" ca="1" si="3"/>
        <v>3.097</v>
      </c>
      <c r="G49" s="462"/>
      <c r="H49" s="452"/>
      <c r="I49" s="453"/>
      <c r="J49" s="454">
        <f t="shared" ca="1" si="4"/>
        <v>3.4</v>
      </c>
      <c r="K49" s="715"/>
      <c r="L49" s="738"/>
      <c r="M49" s="490"/>
      <c r="N49" s="484" t="s">
        <v>300</v>
      </c>
      <c r="O49" s="714">
        <v>24</v>
      </c>
      <c r="P49" s="457">
        <v>81</v>
      </c>
      <c r="Q49" s="457">
        <v>17</v>
      </c>
      <c r="R49" s="457">
        <v>32</v>
      </c>
      <c r="S49" s="457">
        <v>13</v>
      </c>
      <c r="T49" s="457">
        <v>23</v>
      </c>
      <c r="U49" s="457">
        <v>29</v>
      </c>
      <c r="V49" s="457">
        <v>2</v>
      </c>
      <c r="W49" s="457">
        <v>5</v>
      </c>
      <c r="X49" s="457">
        <v>5</v>
      </c>
      <c r="Y49" s="457">
        <v>2</v>
      </c>
      <c r="Z49" s="457">
        <v>1</v>
      </c>
      <c r="AA49" s="457">
        <v>7</v>
      </c>
      <c r="AB49" s="457">
        <v>3</v>
      </c>
      <c r="AC49" s="485">
        <v>1</v>
      </c>
      <c r="AD49" s="485">
        <v>5</v>
      </c>
      <c r="AE49" s="485">
        <v>0</v>
      </c>
      <c r="AF49" s="485">
        <v>13</v>
      </c>
      <c r="AG49" s="485">
        <v>8</v>
      </c>
      <c r="AH49" s="485">
        <v>1</v>
      </c>
      <c r="AI49" s="485">
        <v>2</v>
      </c>
      <c r="AJ49" s="485">
        <v>0</v>
      </c>
      <c r="AK49" s="485">
        <v>19</v>
      </c>
      <c r="AL49" s="486">
        <v>0</v>
      </c>
      <c r="AM49" s="485">
        <v>1</v>
      </c>
      <c r="AN49" s="487">
        <v>1</v>
      </c>
      <c r="AO49" s="486">
        <v>0</v>
      </c>
      <c r="AP49" s="486">
        <v>0</v>
      </c>
      <c r="AQ49" s="486">
        <v>3</v>
      </c>
      <c r="AR49" s="486">
        <v>2.2999999999999998</v>
      </c>
      <c r="AS49" s="881">
        <v>5</v>
      </c>
      <c r="AT49" s="947">
        <v>0</v>
      </c>
      <c r="AU49" s="956">
        <v>6.67</v>
      </c>
      <c r="AV49" s="1077">
        <v>0</v>
      </c>
      <c r="AW49" s="1376">
        <v>3</v>
      </c>
      <c r="AX49" s="1376">
        <v>7</v>
      </c>
      <c r="AY49" s="1671">
        <v>2</v>
      </c>
      <c r="AZ49" s="1671">
        <v>5</v>
      </c>
      <c r="BA49" s="1671">
        <v>0</v>
      </c>
      <c r="BB49" s="1591" t="e">
        <f>フェロモントラップ野帳!$I$290</f>
        <v>#N/A</v>
      </c>
    </row>
    <row r="50" spans="1:62" ht="13.5" customHeight="1">
      <c r="A50" s="403"/>
      <c r="B50" s="408"/>
      <c r="C50" s="461" t="s">
        <v>190</v>
      </c>
      <c r="D50" s="482" t="e">
        <f t="shared" ca="1" si="1"/>
        <v>#N/A</v>
      </c>
      <c r="E50" s="547"/>
      <c r="F50" s="779">
        <f t="shared" ca="1" si="3"/>
        <v>3.8374285714285712</v>
      </c>
      <c r="G50" s="462"/>
      <c r="H50" s="463"/>
      <c r="I50" s="464"/>
      <c r="J50" s="465">
        <f t="shared" ca="1" si="4"/>
        <v>5.5428571428571427</v>
      </c>
      <c r="K50" s="715"/>
      <c r="L50" s="738"/>
      <c r="M50" s="490"/>
      <c r="N50" s="491" t="s">
        <v>301</v>
      </c>
      <c r="O50" s="716">
        <v>84</v>
      </c>
      <c r="P50" s="467">
        <v>35</v>
      </c>
      <c r="Q50" s="467">
        <v>6</v>
      </c>
      <c r="R50" s="467">
        <v>76</v>
      </c>
      <c r="S50" s="467">
        <v>21</v>
      </c>
      <c r="T50" s="467">
        <v>5</v>
      </c>
      <c r="U50" s="467">
        <v>36</v>
      </c>
      <c r="V50" s="467">
        <v>1</v>
      </c>
      <c r="W50" s="467">
        <v>2</v>
      </c>
      <c r="X50" s="467">
        <v>2</v>
      </c>
      <c r="Y50" s="467">
        <v>2</v>
      </c>
      <c r="Z50" s="467">
        <v>3</v>
      </c>
      <c r="AA50" s="467">
        <v>11</v>
      </c>
      <c r="AB50" s="467">
        <v>5</v>
      </c>
      <c r="AC50" s="492">
        <v>1</v>
      </c>
      <c r="AD50" s="492">
        <v>6</v>
      </c>
      <c r="AE50" s="492">
        <v>2</v>
      </c>
      <c r="AF50" s="492">
        <v>12</v>
      </c>
      <c r="AG50" s="492">
        <v>2</v>
      </c>
      <c r="AH50" s="492">
        <v>0</v>
      </c>
      <c r="AI50" s="492">
        <v>1</v>
      </c>
      <c r="AJ50" s="492">
        <v>4</v>
      </c>
      <c r="AK50" s="492">
        <v>27</v>
      </c>
      <c r="AL50" s="493">
        <v>0</v>
      </c>
      <c r="AM50" s="492">
        <v>3</v>
      </c>
      <c r="AN50" s="494">
        <v>11</v>
      </c>
      <c r="AO50" s="493">
        <v>0</v>
      </c>
      <c r="AP50" s="493">
        <v>0</v>
      </c>
      <c r="AQ50" s="493">
        <v>13.5</v>
      </c>
      <c r="AR50" s="493">
        <v>3.8</v>
      </c>
      <c r="AS50" s="877">
        <v>1.7</v>
      </c>
      <c r="AT50" s="948">
        <v>0</v>
      </c>
      <c r="AU50" s="957">
        <v>4.33</v>
      </c>
      <c r="AV50" s="1078">
        <v>0.83</v>
      </c>
      <c r="AW50" s="1377">
        <v>0</v>
      </c>
      <c r="AX50" s="1377">
        <v>8</v>
      </c>
      <c r="AY50" s="1672">
        <v>4</v>
      </c>
      <c r="AZ50" s="1672">
        <v>15</v>
      </c>
      <c r="BA50" s="1672">
        <v>0.71428571428571419</v>
      </c>
      <c r="BB50" s="1592" t="e">
        <f>フェロモントラップ野帳!$I$295</f>
        <v>#N/A</v>
      </c>
    </row>
    <row r="51" spans="1:62" ht="13.5" customHeight="1">
      <c r="A51" s="403"/>
      <c r="B51" s="408" t="s">
        <v>203</v>
      </c>
      <c r="C51" s="461" t="s">
        <v>192</v>
      </c>
      <c r="D51" s="482" t="e">
        <f t="shared" ca="1" si="1"/>
        <v>#N/A</v>
      </c>
      <c r="E51" s="547"/>
      <c r="F51" s="779">
        <f t="shared" ca="1" si="3"/>
        <v>5.6075714285714282</v>
      </c>
      <c r="G51" s="462"/>
      <c r="H51" s="463"/>
      <c r="I51" s="464"/>
      <c r="J51" s="465">
        <f t="shared" ca="1" si="4"/>
        <v>7.7071428571428573</v>
      </c>
      <c r="K51" s="715"/>
      <c r="L51" s="738"/>
      <c r="M51" s="490" t="s">
        <v>292</v>
      </c>
      <c r="N51" s="491" t="s">
        <v>302</v>
      </c>
      <c r="O51" s="716">
        <v>75</v>
      </c>
      <c r="P51" s="467">
        <v>21</v>
      </c>
      <c r="Q51" s="467">
        <v>23</v>
      </c>
      <c r="R51" s="467">
        <v>84</v>
      </c>
      <c r="S51" s="467">
        <v>63</v>
      </c>
      <c r="T51" s="467">
        <v>21</v>
      </c>
      <c r="U51" s="467">
        <v>26</v>
      </c>
      <c r="V51" s="467">
        <v>1</v>
      </c>
      <c r="W51" s="467">
        <v>3</v>
      </c>
      <c r="X51" s="467">
        <v>7</v>
      </c>
      <c r="Y51" s="467">
        <v>1</v>
      </c>
      <c r="Z51" s="467">
        <v>9</v>
      </c>
      <c r="AA51" s="467">
        <v>5</v>
      </c>
      <c r="AB51" s="467">
        <v>5</v>
      </c>
      <c r="AC51" s="492">
        <v>3</v>
      </c>
      <c r="AD51" s="492">
        <v>8</v>
      </c>
      <c r="AE51" s="492">
        <v>0</v>
      </c>
      <c r="AF51" s="492">
        <v>12</v>
      </c>
      <c r="AG51" s="492">
        <v>11</v>
      </c>
      <c r="AH51" s="492">
        <v>16</v>
      </c>
      <c r="AI51" s="492">
        <v>0</v>
      </c>
      <c r="AJ51" s="492">
        <v>9</v>
      </c>
      <c r="AK51" s="492">
        <v>48</v>
      </c>
      <c r="AL51" s="493">
        <v>0</v>
      </c>
      <c r="AM51" s="492">
        <v>2</v>
      </c>
      <c r="AN51" s="494">
        <v>10</v>
      </c>
      <c r="AO51" s="493">
        <v>0</v>
      </c>
      <c r="AP51" s="493">
        <v>10</v>
      </c>
      <c r="AQ51" s="493">
        <v>20.5</v>
      </c>
      <c r="AR51" s="493">
        <v>6.4</v>
      </c>
      <c r="AS51" s="877">
        <v>6.3</v>
      </c>
      <c r="AT51" s="948">
        <v>0</v>
      </c>
      <c r="AU51" s="957">
        <v>1.67</v>
      </c>
      <c r="AV51" s="1078">
        <v>3.17</v>
      </c>
      <c r="AW51" s="1377">
        <v>2</v>
      </c>
      <c r="AX51" s="1377">
        <v>7</v>
      </c>
      <c r="AY51" s="1672">
        <v>4</v>
      </c>
      <c r="AZ51" s="1672">
        <v>23</v>
      </c>
      <c r="BA51" s="1672">
        <v>2.5357142857142856</v>
      </c>
      <c r="BB51" s="1592" t="e">
        <f>フェロモントラップ野帳!$I$300</f>
        <v>#N/A</v>
      </c>
      <c r="BC51" s="1163"/>
      <c r="BD51" s="1163"/>
      <c r="BE51" s="1163"/>
      <c r="BF51" s="1163"/>
      <c r="BG51" s="1163"/>
      <c r="BH51" s="1163"/>
      <c r="BI51" s="1163"/>
      <c r="BJ51" s="912"/>
    </row>
    <row r="52" spans="1:62" ht="13.5" customHeight="1">
      <c r="A52" s="403"/>
      <c r="B52" s="408"/>
      <c r="C52" s="461" t="s">
        <v>193</v>
      </c>
      <c r="D52" s="482" t="e">
        <f t="shared" ca="1" si="1"/>
        <v>#N/A</v>
      </c>
      <c r="E52" s="547"/>
      <c r="F52" s="779">
        <f t="shared" ca="1" si="3"/>
        <v>8.0297619047619051</v>
      </c>
      <c r="G52" s="462"/>
      <c r="H52" s="463"/>
      <c r="I52" s="464"/>
      <c r="J52" s="465">
        <f t="shared" ca="1" si="4"/>
        <v>8.7595238095238095</v>
      </c>
      <c r="K52" s="715"/>
      <c r="L52" s="738"/>
      <c r="M52" s="490"/>
      <c r="N52" s="491" t="s">
        <v>303</v>
      </c>
      <c r="O52" s="716">
        <v>38</v>
      </c>
      <c r="P52" s="467">
        <v>15</v>
      </c>
      <c r="Q52" s="467">
        <v>6</v>
      </c>
      <c r="R52" s="467">
        <v>14</v>
      </c>
      <c r="S52" s="467">
        <v>108</v>
      </c>
      <c r="T52" s="467">
        <v>12</v>
      </c>
      <c r="U52" s="467">
        <v>24</v>
      </c>
      <c r="V52" s="467">
        <v>3</v>
      </c>
      <c r="W52" s="467">
        <v>0</v>
      </c>
      <c r="X52" s="467">
        <v>15</v>
      </c>
      <c r="Y52" s="467">
        <v>1</v>
      </c>
      <c r="Z52" s="467">
        <v>6</v>
      </c>
      <c r="AA52" s="467">
        <v>21</v>
      </c>
      <c r="AB52" s="467">
        <v>6</v>
      </c>
      <c r="AC52" s="492">
        <v>3</v>
      </c>
      <c r="AD52" s="492">
        <v>11</v>
      </c>
      <c r="AE52" s="492">
        <v>0</v>
      </c>
      <c r="AF52" s="492">
        <v>16</v>
      </c>
      <c r="AG52" s="492">
        <v>24</v>
      </c>
      <c r="AH52" s="492">
        <v>20</v>
      </c>
      <c r="AI52" s="492">
        <v>4</v>
      </c>
      <c r="AJ52" s="492">
        <v>11</v>
      </c>
      <c r="AK52" s="492">
        <v>3</v>
      </c>
      <c r="AL52" s="493">
        <v>0</v>
      </c>
      <c r="AM52" s="492">
        <v>3</v>
      </c>
      <c r="AN52" s="494">
        <v>7</v>
      </c>
      <c r="AO52" s="493">
        <v>0</v>
      </c>
      <c r="AP52" s="493">
        <v>0</v>
      </c>
      <c r="AQ52" s="493">
        <v>13</v>
      </c>
      <c r="AR52" s="493">
        <v>3.6</v>
      </c>
      <c r="AS52" s="877">
        <v>7.9</v>
      </c>
      <c r="AT52" s="948">
        <v>0</v>
      </c>
      <c r="AU52" s="957">
        <v>22</v>
      </c>
      <c r="AV52" s="1078">
        <v>3</v>
      </c>
      <c r="AW52" s="1377">
        <v>0</v>
      </c>
      <c r="AX52" s="1377">
        <v>1</v>
      </c>
      <c r="AY52" s="1672">
        <v>5.7142857142857135</v>
      </c>
      <c r="AZ52" s="1672">
        <v>25</v>
      </c>
      <c r="BA52" s="1672">
        <v>12.083333333333334</v>
      </c>
      <c r="BB52" s="1592" t="e">
        <f>フェロモントラップ野帳!$I$305</f>
        <v>#N/A</v>
      </c>
    </row>
    <row r="53" spans="1:62" ht="13.5" customHeight="1">
      <c r="A53" s="403"/>
      <c r="B53" s="408"/>
      <c r="C53" s="461" t="s">
        <v>194</v>
      </c>
      <c r="D53" s="482" t="e">
        <f t="shared" ca="1" si="1"/>
        <v>#N/A</v>
      </c>
      <c r="E53" s="547"/>
      <c r="F53" s="779">
        <f t="shared" ca="1" si="3"/>
        <v>9.4116666666666671</v>
      </c>
      <c r="G53" s="462"/>
      <c r="H53" s="463"/>
      <c r="I53" s="464"/>
      <c r="J53" s="465">
        <f t="shared" ca="1" si="4"/>
        <v>10.783333333333333</v>
      </c>
      <c r="K53" s="715"/>
      <c r="L53" s="738"/>
      <c r="M53" s="490"/>
      <c r="N53" s="491" t="s">
        <v>304</v>
      </c>
      <c r="O53" s="716">
        <v>23</v>
      </c>
      <c r="P53" s="467">
        <v>3</v>
      </c>
      <c r="Q53" s="467">
        <v>69</v>
      </c>
      <c r="R53" s="467">
        <v>72</v>
      </c>
      <c r="S53" s="467">
        <v>131</v>
      </c>
      <c r="T53" s="467">
        <v>1</v>
      </c>
      <c r="U53" s="467">
        <v>68</v>
      </c>
      <c r="V53" s="467">
        <v>3</v>
      </c>
      <c r="W53" s="467">
        <v>0</v>
      </c>
      <c r="X53" s="467">
        <v>15</v>
      </c>
      <c r="Y53" s="467">
        <v>8</v>
      </c>
      <c r="Z53" s="467">
        <v>5</v>
      </c>
      <c r="AA53" s="467">
        <v>9</v>
      </c>
      <c r="AB53" s="467">
        <v>7</v>
      </c>
      <c r="AC53" s="492">
        <v>6</v>
      </c>
      <c r="AD53" s="492">
        <v>8</v>
      </c>
      <c r="AE53" s="492">
        <v>4</v>
      </c>
      <c r="AF53" s="492">
        <v>16</v>
      </c>
      <c r="AG53" s="492">
        <v>36</v>
      </c>
      <c r="AH53" s="492">
        <v>22</v>
      </c>
      <c r="AI53" s="492">
        <v>9</v>
      </c>
      <c r="AJ53" s="492">
        <v>20</v>
      </c>
      <c r="AK53" s="492">
        <v>17</v>
      </c>
      <c r="AL53" s="493">
        <v>17</v>
      </c>
      <c r="AM53" s="492">
        <v>8</v>
      </c>
      <c r="AN53" s="494">
        <v>3</v>
      </c>
      <c r="AO53" s="493">
        <v>0</v>
      </c>
      <c r="AP53" s="493">
        <v>11.43</v>
      </c>
      <c r="AQ53" s="493">
        <v>19.2</v>
      </c>
      <c r="AR53" s="493">
        <v>5.0999999999999996</v>
      </c>
      <c r="AS53" s="877">
        <v>6.1</v>
      </c>
      <c r="AT53" s="948">
        <v>1</v>
      </c>
      <c r="AU53" s="957">
        <v>26</v>
      </c>
      <c r="AV53" s="1078">
        <v>2</v>
      </c>
      <c r="AW53" s="1377">
        <v>0</v>
      </c>
      <c r="AX53" s="1377">
        <v>3</v>
      </c>
      <c r="AY53" s="1672">
        <v>10</v>
      </c>
      <c r="AZ53" s="1672">
        <v>33</v>
      </c>
      <c r="BA53" s="1672">
        <v>7.916666666666667</v>
      </c>
      <c r="BB53" s="1592" t="e">
        <f>フェロモントラップ野帳!$I$310</f>
        <v>#N/A</v>
      </c>
    </row>
    <row r="54" spans="1:62" ht="13.5" customHeight="1" thickBot="1">
      <c r="A54" s="403"/>
      <c r="B54" s="408"/>
      <c r="C54" s="448" t="s">
        <v>195</v>
      </c>
      <c r="D54" s="506" t="e">
        <f t="shared" ca="1" si="1"/>
        <v>#N/A</v>
      </c>
      <c r="E54" s="549"/>
      <c r="F54" s="1607">
        <f t="shared" ca="1" si="3"/>
        <v>10.6355</v>
      </c>
      <c r="G54" s="473"/>
      <c r="H54" s="474"/>
      <c r="I54" s="475"/>
      <c r="J54" s="476">
        <f t="shared" ca="1" si="4"/>
        <v>17.675000000000001</v>
      </c>
      <c r="K54" s="717"/>
      <c r="L54" s="738"/>
      <c r="M54" s="490"/>
      <c r="N54" s="509" t="s">
        <v>305</v>
      </c>
      <c r="O54" s="718">
        <v>16</v>
      </c>
      <c r="P54" s="478">
        <v>4</v>
      </c>
      <c r="Q54" s="478">
        <v>66</v>
      </c>
      <c r="R54" s="478">
        <v>79</v>
      </c>
      <c r="S54" s="478">
        <v>116</v>
      </c>
      <c r="T54" s="478">
        <v>5</v>
      </c>
      <c r="U54" s="478">
        <v>60</v>
      </c>
      <c r="V54" s="478">
        <v>158</v>
      </c>
      <c r="W54" s="478">
        <v>0</v>
      </c>
      <c r="X54" s="478">
        <v>17</v>
      </c>
      <c r="Y54" s="478">
        <v>4</v>
      </c>
      <c r="Z54" s="478">
        <v>2</v>
      </c>
      <c r="AA54" s="478">
        <v>20</v>
      </c>
      <c r="AB54" s="478">
        <v>2</v>
      </c>
      <c r="AC54" s="510">
        <v>13</v>
      </c>
      <c r="AD54" s="510">
        <v>0</v>
      </c>
      <c r="AE54" s="510">
        <v>3</v>
      </c>
      <c r="AF54" s="510">
        <v>2</v>
      </c>
      <c r="AG54" s="510">
        <v>36</v>
      </c>
      <c r="AH54" s="510">
        <v>8</v>
      </c>
      <c r="AI54" s="510">
        <v>25</v>
      </c>
      <c r="AJ54" s="510">
        <v>16</v>
      </c>
      <c r="AK54" s="510">
        <f>1/(6/5)</f>
        <v>0.83333333333333337</v>
      </c>
      <c r="AL54" s="511">
        <v>13</v>
      </c>
      <c r="AM54" s="510">
        <v>5</v>
      </c>
      <c r="AN54" s="512">
        <v>25</v>
      </c>
      <c r="AO54" s="511">
        <v>0</v>
      </c>
      <c r="AP54" s="511">
        <v>7.98</v>
      </c>
      <c r="AQ54" s="511">
        <v>6.2</v>
      </c>
      <c r="AR54" s="511">
        <v>6.9</v>
      </c>
      <c r="AS54" s="878">
        <v>3</v>
      </c>
      <c r="AT54" s="950">
        <v>1</v>
      </c>
      <c r="AU54" s="959">
        <v>3.33</v>
      </c>
      <c r="AV54" s="1080">
        <v>3.75</v>
      </c>
      <c r="AW54" s="1379">
        <v>5</v>
      </c>
      <c r="AX54" s="1379">
        <v>2</v>
      </c>
      <c r="AY54" s="1678">
        <v>8</v>
      </c>
      <c r="AZ54" s="1678">
        <v>72</v>
      </c>
      <c r="BA54" s="1678">
        <v>1.375</v>
      </c>
      <c r="BB54" s="1598" t="e">
        <f>フェロモントラップ野帳!$I$316</f>
        <v>#N/A</v>
      </c>
    </row>
    <row r="55" spans="1:62">
      <c r="B55" s="407"/>
      <c r="C55" s="529" t="s">
        <v>189</v>
      </c>
      <c r="D55" s="482" t="e">
        <f t="shared" ca="1" si="1"/>
        <v>#N/A</v>
      </c>
      <c r="E55" s="547"/>
      <c r="F55" s="1606">
        <f t="shared" ca="1" si="3"/>
        <v>16.209166666666668</v>
      </c>
      <c r="G55" s="462"/>
      <c r="H55" s="452"/>
      <c r="I55" s="453"/>
      <c r="J55" s="454">
        <f t="shared" ca="1" si="4"/>
        <v>26.608333333333338</v>
      </c>
      <c r="K55" s="715"/>
      <c r="L55" s="738"/>
      <c r="M55" s="434"/>
      <c r="N55" s="484" t="s">
        <v>300</v>
      </c>
      <c r="O55" s="720">
        <v>8</v>
      </c>
      <c r="P55" s="517">
        <v>0</v>
      </c>
      <c r="Q55" s="517">
        <v>36</v>
      </c>
      <c r="R55" s="517">
        <v>89</v>
      </c>
      <c r="S55" s="517">
        <v>54</v>
      </c>
      <c r="T55" s="517">
        <v>1</v>
      </c>
      <c r="U55" s="517">
        <v>40</v>
      </c>
      <c r="V55" s="517">
        <v>39</v>
      </c>
      <c r="W55" s="517"/>
      <c r="X55" s="517">
        <v>5</v>
      </c>
      <c r="Y55" s="517">
        <v>2</v>
      </c>
      <c r="Z55" s="517">
        <v>2</v>
      </c>
      <c r="AA55" s="517">
        <v>12</v>
      </c>
      <c r="AB55" s="517">
        <v>6</v>
      </c>
      <c r="AC55" s="518">
        <v>14</v>
      </c>
      <c r="AD55" s="518">
        <v>0</v>
      </c>
      <c r="AE55" s="518">
        <v>0</v>
      </c>
      <c r="AF55" s="518">
        <v>7</v>
      </c>
      <c r="AG55" s="518">
        <v>16</v>
      </c>
      <c r="AH55" s="518">
        <v>5</v>
      </c>
      <c r="AI55" s="518">
        <v>29</v>
      </c>
      <c r="AJ55" s="518">
        <v>17</v>
      </c>
      <c r="AK55" s="518">
        <v>3</v>
      </c>
      <c r="AL55" s="519">
        <v>1</v>
      </c>
      <c r="AM55" s="518">
        <v>6</v>
      </c>
      <c r="AN55" s="520">
        <v>1</v>
      </c>
      <c r="AO55" s="519">
        <v>0</v>
      </c>
      <c r="AP55" s="519">
        <v>9</v>
      </c>
      <c r="AQ55" s="519">
        <v>2.1</v>
      </c>
      <c r="AR55" s="519">
        <v>0.8</v>
      </c>
      <c r="AS55" s="876">
        <v>2</v>
      </c>
      <c r="AT55" s="951">
        <v>9</v>
      </c>
      <c r="AU55" s="960">
        <v>5</v>
      </c>
      <c r="AV55" s="1081">
        <v>12.25</v>
      </c>
      <c r="AW55" s="1380">
        <v>10</v>
      </c>
      <c r="AX55" s="1380">
        <v>11.666666666666668</v>
      </c>
      <c r="AY55" s="1679">
        <v>66</v>
      </c>
      <c r="AZ55" s="1679">
        <v>39</v>
      </c>
      <c r="BA55" s="1679">
        <v>6.375</v>
      </c>
      <c r="BB55" s="1599" t="e">
        <f>フェロモントラップ野帳!$I$330</f>
        <v>#N/A</v>
      </c>
    </row>
    <row r="56" spans="1:62">
      <c r="B56" s="408"/>
      <c r="C56" s="461" t="s">
        <v>190</v>
      </c>
      <c r="D56" s="482" t="e">
        <f t="shared" ca="1" si="1"/>
        <v>#N/A</v>
      </c>
      <c r="E56" s="547"/>
      <c r="F56" s="779">
        <f t="shared" ca="1" si="3"/>
        <v>14.144761904761904</v>
      </c>
      <c r="G56" s="462"/>
      <c r="H56" s="463"/>
      <c r="I56" s="464"/>
      <c r="J56" s="465">
        <f t="shared" ca="1" si="4"/>
        <v>22.409523809523808</v>
      </c>
      <c r="K56" s="715"/>
      <c r="L56" s="738"/>
      <c r="M56" s="490"/>
      <c r="N56" s="491" t="s">
        <v>301</v>
      </c>
      <c r="O56" s="716">
        <v>0</v>
      </c>
      <c r="P56" s="467">
        <v>0</v>
      </c>
      <c r="Q56" s="467">
        <v>25</v>
      </c>
      <c r="R56" s="467">
        <v>21</v>
      </c>
      <c r="S56" s="467">
        <v>24</v>
      </c>
      <c r="T56" s="467">
        <v>2</v>
      </c>
      <c r="U56" s="467">
        <v>26</v>
      </c>
      <c r="V56" s="467">
        <v>11</v>
      </c>
      <c r="W56" s="467"/>
      <c r="X56" s="467">
        <v>0</v>
      </c>
      <c r="Y56" s="467">
        <v>8</v>
      </c>
      <c r="Z56" s="467">
        <v>1</v>
      </c>
      <c r="AA56" s="467">
        <v>63</v>
      </c>
      <c r="AB56" s="467">
        <v>5</v>
      </c>
      <c r="AC56" s="492">
        <v>11</v>
      </c>
      <c r="AD56" s="492">
        <v>2</v>
      </c>
      <c r="AE56" s="492">
        <v>0</v>
      </c>
      <c r="AF56" s="492">
        <v>9</v>
      </c>
      <c r="AG56" s="492">
        <v>19</v>
      </c>
      <c r="AH56" s="492">
        <v>4</v>
      </c>
      <c r="AI56" s="492">
        <v>16</v>
      </c>
      <c r="AJ56" s="492">
        <v>20</v>
      </c>
      <c r="AK56" s="492">
        <v>1</v>
      </c>
      <c r="AL56" s="493">
        <v>6</v>
      </c>
      <c r="AM56" s="492">
        <v>20</v>
      </c>
      <c r="AN56" s="494">
        <v>6</v>
      </c>
      <c r="AO56" s="493">
        <v>0</v>
      </c>
      <c r="AP56" s="493">
        <v>10</v>
      </c>
      <c r="AQ56" s="493">
        <v>2</v>
      </c>
      <c r="AR56" s="493">
        <v>0.2</v>
      </c>
      <c r="AS56" s="877">
        <v>2</v>
      </c>
      <c r="AT56" s="948">
        <v>9.1999999999999993</v>
      </c>
      <c r="AU56" s="957">
        <v>5</v>
      </c>
      <c r="AV56" s="1078">
        <v>13</v>
      </c>
      <c r="AW56" s="1377">
        <v>5</v>
      </c>
      <c r="AX56" s="1377">
        <v>13.333333333333332</v>
      </c>
      <c r="AY56" s="1672">
        <v>15.714285714285714</v>
      </c>
      <c r="AZ56" s="1672">
        <v>66</v>
      </c>
      <c r="BA56" s="1672">
        <v>12</v>
      </c>
      <c r="BB56" s="1592" t="e">
        <f>フェロモントラップ野帳!$I$335</f>
        <v>#N/A</v>
      </c>
    </row>
    <row r="57" spans="1:62">
      <c r="B57" s="408" t="s">
        <v>204</v>
      </c>
      <c r="C57" s="461" t="s">
        <v>192</v>
      </c>
      <c r="D57" s="482" t="e">
        <f t="shared" ca="1" si="1"/>
        <v>#N/A</v>
      </c>
      <c r="E57" s="547"/>
      <c r="F57" s="779">
        <f t="shared" ca="1" si="3"/>
        <v>14.928714285714287</v>
      </c>
      <c r="G57" s="462"/>
      <c r="H57" s="463"/>
      <c r="I57" s="464"/>
      <c r="J57" s="465">
        <f t="shared" ca="1" si="4"/>
        <v>24.771428571428572</v>
      </c>
      <c r="K57" s="715"/>
      <c r="L57" s="738"/>
      <c r="M57" s="490" t="s">
        <v>293</v>
      </c>
      <c r="N57" s="491" t="s">
        <v>302</v>
      </c>
      <c r="O57" s="716">
        <v>0</v>
      </c>
      <c r="P57" s="467">
        <v>0</v>
      </c>
      <c r="Q57" s="467">
        <v>19</v>
      </c>
      <c r="R57" s="467">
        <v>11</v>
      </c>
      <c r="S57" s="467">
        <v>3</v>
      </c>
      <c r="T57" s="467">
        <v>0</v>
      </c>
      <c r="U57" s="467">
        <v>10</v>
      </c>
      <c r="V57" s="467">
        <v>14</v>
      </c>
      <c r="W57" s="467"/>
      <c r="X57" s="467">
        <v>4</v>
      </c>
      <c r="Y57" s="467">
        <v>19</v>
      </c>
      <c r="Z57" s="467">
        <v>2</v>
      </c>
      <c r="AA57" s="467">
        <v>38</v>
      </c>
      <c r="AB57" s="467">
        <v>2</v>
      </c>
      <c r="AC57" s="492">
        <v>15</v>
      </c>
      <c r="AD57" s="492">
        <v>3</v>
      </c>
      <c r="AE57" s="492">
        <v>0</v>
      </c>
      <c r="AF57" s="492">
        <v>5</v>
      </c>
      <c r="AG57" s="492">
        <v>15</v>
      </c>
      <c r="AH57" s="492">
        <v>4</v>
      </c>
      <c r="AI57" s="492">
        <v>18</v>
      </c>
      <c r="AJ57" s="492">
        <v>16</v>
      </c>
      <c r="AK57" s="492">
        <v>8</v>
      </c>
      <c r="AL57" s="493">
        <v>3</v>
      </c>
      <c r="AM57" s="492">
        <v>9</v>
      </c>
      <c r="AN57" s="494">
        <v>0</v>
      </c>
      <c r="AO57" s="493">
        <v>0</v>
      </c>
      <c r="AP57" s="493">
        <v>3.33</v>
      </c>
      <c r="AQ57" s="493">
        <v>11.7</v>
      </c>
      <c r="AR57" s="493">
        <v>6</v>
      </c>
      <c r="AS57" s="877">
        <v>0</v>
      </c>
      <c r="AT57" s="948">
        <v>4.8</v>
      </c>
      <c r="AU57" s="957">
        <v>5.63</v>
      </c>
      <c r="AV57" s="1078">
        <v>9</v>
      </c>
      <c r="AW57" s="1377">
        <v>2</v>
      </c>
      <c r="AX57" s="1377">
        <v>16</v>
      </c>
      <c r="AY57" s="1672">
        <v>0</v>
      </c>
      <c r="AZ57" s="1672">
        <v>103</v>
      </c>
      <c r="BA57" s="1672">
        <v>2.8571428571428568</v>
      </c>
      <c r="BB57" s="1592" t="e">
        <f>フェロモントラップ野帳!$I$340</f>
        <v>#N/A</v>
      </c>
    </row>
    <row r="58" spans="1:62">
      <c r="B58" s="408"/>
      <c r="C58" s="461" t="s">
        <v>193</v>
      </c>
      <c r="D58" s="482" t="e">
        <f t="shared" ca="1" si="1"/>
        <v>#N/A</v>
      </c>
      <c r="E58" s="547"/>
      <c r="F58" s="779">
        <f t="shared" ca="1" si="3"/>
        <v>5.1429523809523818</v>
      </c>
      <c r="G58" s="462"/>
      <c r="H58" s="463"/>
      <c r="I58" s="464"/>
      <c r="J58" s="465">
        <f t="shared" ca="1" si="4"/>
        <v>5.961904761904762</v>
      </c>
      <c r="K58" s="715"/>
      <c r="L58" s="738"/>
      <c r="M58" s="490"/>
      <c r="N58" s="491" t="s">
        <v>303</v>
      </c>
      <c r="O58" s="716">
        <v>0</v>
      </c>
      <c r="P58" s="467">
        <v>0</v>
      </c>
      <c r="Q58" s="467">
        <v>5</v>
      </c>
      <c r="R58" s="467">
        <v>14</v>
      </c>
      <c r="S58" s="467">
        <v>1</v>
      </c>
      <c r="T58" s="467">
        <v>0</v>
      </c>
      <c r="U58" s="467">
        <v>10</v>
      </c>
      <c r="V58" s="467">
        <v>8</v>
      </c>
      <c r="W58" s="467"/>
      <c r="X58" s="467">
        <v>0</v>
      </c>
      <c r="Y58" s="467">
        <v>45</v>
      </c>
      <c r="Z58" s="467">
        <v>0</v>
      </c>
      <c r="AA58" s="467">
        <v>7</v>
      </c>
      <c r="AB58" s="467">
        <v>3</v>
      </c>
      <c r="AC58" s="492">
        <v>1</v>
      </c>
      <c r="AD58" s="492">
        <v>6</v>
      </c>
      <c r="AE58" s="492">
        <v>0</v>
      </c>
      <c r="AF58" s="492">
        <v>5</v>
      </c>
      <c r="AG58" s="492">
        <v>1</v>
      </c>
      <c r="AH58" s="492">
        <v>2</v>
      </c>
      <c r="AI58" s="492">
        <v>0</v>
      </c>
      <c r="AJ58" s="492">
        <v>4</v>
      </c>
      <c r="AK58" s="492">
        <v>2</v>
      </c>
      <c r="AL58" s="493">
        <v>2</v>
      </c>
      <c r="AM58" s="492">
        <v>13</v>
      </c>
      <c r="AN58" s="494">
        <v>0</v>
      </c>
      <c r="AO58" s="493">
        <v>0</v>
      </c>
      <c r="AP58" s="493">
        <v>0.67</v>
      </c>
      <c r="AQ58" s="493">
        <v>19.3</v>
      </c>
      <c r="AR58" s="493">
        <v>4</v>
      </c>
      <c r="AS58" s="877">
        <v>0</v>
      </c>
      <c r="AT58" s="948">
        <v>8</v>
      </c>
      <c r="AU58" s="957">
        <v>3.37</v>
      </c>
      <c r="AV58" s="1078">
        <v>6.25</v>
      </c>
      <c r="AW58" s="1377">
        <v>4</v>
      </c>
      <c r="AX58" s="1377">
        <v>11</v>
      </c>
      <c r="AY58" s="1672">
        <v>12</v>
      </c>
      <c r="AZ58" s="1672">
        <v>1.6666666666666665</v>
      </c>
      <c r="BA58" s="1672">
        <v>1.1428571428571428</v>
      </c>
      <c r="BB58" s="1592" t="e">
        <f>フェロモントラップ野帳!$I$345</f>
        <v>#N/A</v>
      </c>
    </row>
    <row r="59" spans="1:62">
      <c r="B59" s="408"/>
      <c r="C59" s="461" t="s">
        <v>194</v>
      </c>
      <c r="D59" s="482" t="e">
        <f t="shared" ca="1" si="1"/>
        <v>#N/A</v>
      </c>
      <c r="E59" s="547"/>
      <c r="F59" s="779">
        <f t="shared" ca="1" si="3"/>
        <v>3.0826190476190476</v>
      </c>
      <c r="G59" s="462"/>
      <c r="H59" s="463"/>
      <c r="I59" s="464"/>
      <c r="J59" s="465">
        <f t="shared" ca="1" si="4"/>
        <v>2.4952380952380948</v>
      </c>
      <c r="K59" s="715"/>
      <c r="L59" s="738"/>
      <c r="M59" s="490"/>
      <c r="N59" s="491" t="s">
        <v>304</v>
      </c>
      <c r="O59" s="716">
        <v>0</v>
      </c>
      <c r="P59" s="467">
        <v>0</v>
      </c>
      <c r="Q59" s="467">
        <v>0</v>
      </c>
      <c r="R59" s="467">
        <v>1</v>
      </c>
      <c r="S59" s="467">
        <v>0</v>
      </c>
      <c r="T59" s="467">
        <v>0</v>
      </c>
      <c r="U59" s="467">
        <v>3</v>
      </c>
      <c r="V59" s="467">
        <v>6</v>
      </c>
      <c r="W59" s="467"/>
      <c r="X59" s="467">
        <v>0</v>
      </c>
      <c r="Y59" s="467">
        <v>20</v>
      </c>
      <c r="Z59" s="467">
        <v>0</v>
      </c>
      <c r="AA59" s="467">
        <v>18</v>
      </c>
      <c r="AB59" s="467">
        <v>0</v>
      </c>
      <c r="AC59" s="492">
        <v>2</v>
      </c>
      <c r="AD59" s="492">
        <v>2</v>
      </c>
      <c r="AE59" s="492">
        <v>3</v>
      </c>
      <c r="AF59" s="492">
        <v>4</v>
      </c>
      <c r="AG59" s="492">
        <v>0</v>
      </c>
      <c r="AH59" s="492">
        <v>2</v>
      </c>
      <c r="AI59" s="492">
        <v>0</v>
      </c>
      <c r="AJ59" s="492">
        <v>0</v>
      </c>
      <c r="AK59" s="492">
        <v>1</v>
      </c>
      <c r="AL59" s="493">
        <v>8</v>
      </c>
      <c r="AM59" s="492">
        <v>0</v>
      </c>
      <c r="AN59" s="494">
        <v>0</v>
      </c>
      <c r="AO59" s="493">
        <v>0</v>
      </c>
      <c r="AP59" s="493">
        <v>0</v>
      </c>
      <c r="AQ59" s="493">
        <v>0.8</v>
      </c>
      <c r="AR59" s="493">
        <v>1.9</v>
      </c>
      <c r="AS59" s="877">
        <v>0</v>
      </c>
      <c r="AT59" s="948">
        <v>1.7</v>
      </c>
      <c r="AU59" s="957">
        <v>9</v>
      </c>
      <c r="AV59" s="1078">
        <v>5.75</v>
      </c>
      <c r="AW59" s="1377">
        <v>1</v>
      </c>
      <c r="AX59" s="1377">
        <v>5</v>
      </c>
      <c r="AY59" s="1672">
        <v>3.333333333333333</v>
      </c>
      <c r="AZ59" s="1672">
        <v>2.1428571428571428</v>
      </c>
      <c r="BA59" s="1672">
        <v>1</v>
      </c>
      <c r="BB59" s="1592" t="e">
        <f>フェロモントラップ野帳!$I$350</f>
        <v>#N/A</v>
      </c>
    </row>
    <row r="60" spans="1:62" ht="14.5" thickBot="1">
      <c r="B60" s="472"/>
      <c r="C60" s="448" t="s">
        <v>195</v>
      </c>
      <c r="D60" s="506" t="e">
        <f t="shared" ca="1" si="1"/>
        <v>#N/A</v>
      </c>
      <c r="E60" s="549"/>
      <c r="F60" s="1608">
        <f t="shared" ca="1" si="3"/>
        <v>2.677</v>
      </c>
      <c r="G60" s="473"/>
      <c r="H60" s="474"/>
      <c r="I60" s="475"/>
      <c r="J60" s="476">
        <f t="shared" ca="1" si="4"/>
        <v>3.4</v>
      </c>
      <c r="K60" s="717"/>
      <c r="L60" s="738"/>
      <c r="M60" s="508"/>
      <c r="N60" s="509" t="s">
        <v>305</v>
      </c>
      <c r="O60" s="718">
        <v>0</v>
      </c>
      <c r="P60" s="478">
        <v>0</v>
      </c>
      <c r="Q60" s="478">
        <v>0</v>
      </c>
      <c r="R60" s="478">
        <v>0</v>
      </c>
      <c r="S60" s="478">
        <v>0</v>
      </c>
      <c r="T60" s="478">
        <v>0</v>
      </c>
      <c r="U60" s="478">
        <v>0</v>
      </c>
      <c r="V60" s="478">
        <v>0</v>
      </c>
      <c r="W60" s="478"/>
      <c r="X60" s="478">
        <v>0</v>
      </c>
      <c r="Y60" s="478">
        <v>10</v>
      </c>
      <c r="Z60" s="478"/>
      <c r="AA60" s="478">
        <v>29</v>
      </c>
      <c r="AB60" s="478">
        <v>1</v>
      </c>
      <c r="AC60" s="510">
        <v>1</v>
      </c>
      <c r="AD60" s="510">
        <v>1</v>
      </c>
      <c r="AE60" s="510">
        <v>0</v>
      </c>
      <c r="AF60" s="510">
        <v>3</v>
      </c>
      <c r="AG60" s="510">
        <v>0</v>
      </c>
      <c r="AH60" s="510">
        <v>0</v>
      </c>
      <c r="AI60" s="510">
        <v>5</v>
      </c>
      <c r="AJ60" s="510">
        <v>4</v>
      </c>
      <c r="AK60" s="510">
        <v>0</v>
      </c>
      <c r="AL60" s="511">
        <v>1</v>
      </c>
      <c r="AM60" s="510">
        <v>0</v>
      </c>
      <c r="AN60" s="512">
        <v>0</v>
      </c>
      <c r="AO60" s="511">
        <v>0</v>
      </c>
      <c r="AP60" s="511">
        <v>1.67</v>
      </c>
      <c r="AQ60" s="511">
        <v>0.2</v>
      </c>
      <c r="AR60" s="511">
        <v>1.1000000000000001</v>
      </c>
      <c r="AS60" s="878">
        <v>0</v>
      </c>
      <c r="AT60" s="950">
        <v>0</v>
      </c>
      <c r="AU60" s="959">
        <v>1.67</v>
      </c>
      <c r="AV60" s="1080">
        <v>7</v>
      </c>
      <c r="AW60" s="1379">
        <v>1</v>
      </c>
      <c r="AX60" s="1379">
        <v>7</v>
      </c>
      <c r="AY60" s="1678">
        <v>7</v>
      </c>
      <c r="AZ60" s="1678">
        <v>0</v>
      </c>
      <c r="BA60" s="1678">
        <v>2</v>
      </c>
      <c r="BB60" s="1598" t="e">
        <f>フェロモントラップ野帳!$I$356</f>
        <v>#N/A</v>
      </c>
    </row>
    <row r="70" spans="11:21">
      <c r="K70" s="426"/>
      <c r="L70" s="426"/>
      <c r="M70" s="426"/>
      <c r="N70" s="426"/>
    </row>
    <row r="71" spans="11:21">
      <c r="K71" s="426"/>
      <c r="L71" s="426"/>
      <c r="O71" s="412" t="str">
        <f ca="1">IF(ISERROR(OFFSET(#REF!,0,0,1,#REF!-90)),"",OFFSET(#REF!,0,0,1,#REF!-90))</f>
        <v/>
      </c>
      <c r="P71" s="412" t="str">
        <f ca="1">IF(ISERROR(OFFSET(#REF!,0,0,1,#REF!-90)),"",OFFSET(#REF!,0,0,1,#REF!-90))</f>
        <v/>
      </c>
      <c r="Q71" s="532"/>
      <c r="R71" s="426"/>
      <c r="S71" s="426"/>
      <c r="T71" s="426"/>
      <c r="U71" s="426"/>
    </row>
    <row r="72" spans="11:21">
      <c r="K72" s="426"/>
      <c r="L72" s="426"/>
      <c r="O72" s="412" t="str">
        <f ca="1">IF(ISERROR(OFFSET(#REF!,0,0,1,#REF!-90)),"",OFFSET(#REF!,0,0,1,#REF!-90))</f>
        <v/>
      </c>
      <c r="P72" s="412" t="str">
        <f ca="1">IF(ISERROR(OFFSET(#REF!,0,0,1,#REF!-90)),"",OFFSET(#REF!,0,0,1,#REF!-90))</f>
        <v/>
      </c>
      <c r="Q72" s="532"/>
      <c r="R72" s="426"/>
      <c r="S72" s="426"/>
      <c r="T72" s="426"/>
      <c r="U72" s="426"/>
    </row>
    <row r="73" spans="11:21">
      <c r="K73" s="426"/>
      <c r="L73" s="426"/>
      <c r="O73" s="412" t="str">
        <f ca="1">IF(ISERROR(OFFSET(#REF!,0,0,1,#REF!-90)),"",OFFSET(#REF!,0,0,1,#REF!-90))</f>
        <v/>
      </c>
      <c r="P73" s="412" t="str">
        <f ca="1">IF(ISERROR(OFFSET(#REF!,0,0,1,#REF!-90)),"",OFFSET(#REF!,0,0,1,#REF!-90))</f>
        <v/>
      </c>
      <c r="Q73" s="532"/>
      <c r="R73" s="426"/>
      <c r="S73" s="426"/>
      <c r="T73" s="426"/>
      <c r="U73" s="426"/>
    </row>
    <row r="74" spans="11:21">
      <c r="K74" s="426"/>
      <c r="L74" s="426"/>
      <c r="O74" s="412" t="str">
        <f ca="1">IF(ISERROR(OFFSET(#REF!,0,0,1,#REF!-90)),"",OFFSET(#REF!,0,0,1,#REF!-90))</f>
        <v/>
      </c>
      <c r="P74" s="412" t="str">
        <f ca="1">IF(ISERROR(OFFSET(#REF!,0,0,1,#REF!-90)),"",OFFSET(#REF!,0,0,1,#REF!-90))</f>
        <v/>
      </c>
      <c r="Q74" s="532"/>
      <c r="R74" s="426"/>
      <c r="S74" s="426"/>
      <c r="T74" s="426"/>
      <c r="U74" s="426"/>
    </row>
    <row r="75" spans="11:21">
      <c r="K75" s="426"/>
      <c r="L75" s="426"/>
      <c r="O75" s="412" t="str">
        <f ca="1">IF(ISERROR(OFFSET(#REF!,0,0,1,#REF!-90)),"",OFFSET(#REF!,0,0,1,#REF!-90))</f>
        <v/>
      </c>
      <c r="P75" s="412" t="str">
        <f ca="1">IF(ISERROR(OFFSET(#REF!,0,0,1,#REF!-90)),"",OFFSET(#REF!,0,0,1,#REF!-90))</f>
        <v/>
      </c>
      <c r="Q75" s="532"/>
      <c r="R75" s="426"/>
      <c r="S75" s="426"/>
      <c r="T75" s="426"/>
      <c r="U75" s="426"/>
    </row>
    <row r="76" spans="11:21">
      <c r="K76" s="426"/>
      <c r="L76" s="426"/>
    </row>
    <row r="77" spans="11:21">
      <c r="K77" s="426"/>
      <c r="L77" s="426"/>
    </row>
    <row r="78" spans="11:21">
      <c r="K78" s="426"/>
      <c r="L78" s="426"/>
    </row>
    <row r="79" spans="11:21">
      <c r="K79" s="426"/>
      <c r="L79" s="426"/>
    </row>
  </sheetData>
  <customSheetViews>
    <customSheetView guid="{BC749C3C-D733-4D37-8792-BBFA31845F93}" scale="85" hiddenColumns="1" showRuler="0">
      <selection activeCell="B2" sqref="B2:K2"/>
      <pageMargins left="0.59055118110236227" right="0.59055118110236227" top="0.59055118110236227" bottom="0.59055118110236227" header="0.51181102362204722" footer="0.51181102362204722"/>
      <pageSetup paperSize="9" scale="75" orientation="landscape" verticalDpi="0" r:id="rId1"/>
      <headerFooter alignWithMargins="0"/>
    </customSheetView>
  </customSheetViews>
  <mergeCells count="5">
    <mergeCell ref="L2:M2"/>
    <mergeCell ref="B2:K2"/>
    <mergeCell ref="F5:F6"/>
    <mergeCell ref="H4:J4"/>
    <mergeCell ref="H6:J6"/>
  </mergeCells>
  <phoneticPr fontId="2"/>
  <dataValidations xWindow="374" yWindow="195" count="3">
    <dataValidation type="whole" allowBlank="1" showInputMessage="1" showErrorMessage="1" error="年数が間違っています。" prompt="年数を入力して下さい。" sqref="H5" xr:uid="{00000000-0002-0000-0900-000000000000}">
      <formula1>1987</formula1>
      <formula2>J5-2</formula2>
    </dataValidation>
    <dataValidation type="whole" allowBlank="1" showInputMessage="1" showErrorMessage="1" error="年数が間違っています。" prompt="年数を入力して下さい。" sqref="J5" xr:uid="{00000000-0002-0000-0900-000001000000}">
      <formula1>H5+1</formula1>
      <formula2>L2</formula2>
    </dataValidation>
    <dataValidation type="whole" allowBlank="1" showInputMessage="1" showErrorMessage="1" error="年数が間違っています。" prompt="年数を入力して下さい。" sqref="D5" xr:uid="{00000000-0002-0000-0900-000002000000}">
      <formula1>1987</formula1>
      <formula2>L2</formula2>
    </dataValidation>
  </dataValidations>
  <pageMargins left="0.59055118110236227" right="0.59055118110236227" top="0.59055118110236227" bottom="0.59055118110236227" header="0.51181102362204722" footer="0.51181102362204722"/>
  <pageSetup paperSize="9" scale="75" orientation="landscape" verticalDpi="1200" r:id="rId2"/>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0066"/>
    <pageSetUpPr fitToPage="1"/>
  </sheetPr>
  <dimension ref="A2:V369"/>
  <sheetViews>
    <sheetView topLeftCell="A135" zoomScale="55" zoomScaleNormal="55" zoomScaleSheetLayoutView="50" workbookViewId="0">
      <selection activeCell="Y146" sqref="Y146"/>
    </sheetView>
  </sheetViews>
  <sheetFormatPr defaultColWidth="9" defaultRowHeight="15"/>
  <cols>
    <col min="1" max="1" width="9" style="1216"/>
    <col min="2" max="2" width="4.6328125" style="1226" customWidth="1"/>
    <col min="3" max="3" width="9.26953125" style="1226" bestFit="1" customWidth="1"/>
    <col min="4" max="15" width="9" style="1216" customWidth="1"/>
    <col min="16" max="16" width="11" style="1216" bestFit="1" customWidth="1"/>
    <col min="17" max="17" width="10" style="1216" bestFit="1" customWidth="1"/>
    <col min="18" max="18" width="11" style="1216" bestFit="1" customWidth="1"/>
    <col min="19" max="19" width="9" style="1216" customWidth="1"/>
    <col min="20" max="20" width="11" style="1216" bestFit="1" customWidth="1"/>
    <col min="21" max="21" width="9" style="1216" customWidth="1"/>
    <col min="22" max="22" width="5.6328125" style="1216" customWidth="1"/>
    <col min="23" max="16384" width="9" style="1216"/>
  </cols>
  <sheetData>
    <row r="2" spans="2:21" s="1401" customFormat="1" ht="24.75" customHeight="1" thickBot="1">
      <c r="B2" s="1914" t="s">
        <v>549</v>
      </c>
      <c r="C2" s="1914"/>
      <c r="D2" s="1914"/>
      <c r="E2" s="1914"/>
      <c r="F2" s="1914"/>
      <c r="G2" s="1914"/>
      <c r="H2" s="1242">
        <v>2026</v>
      </c>
      <c r="I2" s="1242" t="s">
        <v>420</v>
      </c>
      <c r="J2" s="1242">
        <v>3</v>
      </c>
      <c r="K2" s="1242" t="s">
        <v>421</v>
      </c>
      <c r="L2" s="1241"/>
      <c r="M2" s="1241"/>
      <c r="N2" s="1241"/>
    </row>
    <row r="3" spans="2:21" s="1401" customFormat="1" ht="24.75" customHeight="1">
      <c r="B3" s="1915"/>
      <c r="C3" s="1918" t="s">
        <v>422</v>
      </c>
      <c r="D3" s="1921" t="s">
        <v>423</v>
      </c>
      <c r="E3" s="1922"/>
      <c r="F3" s="1922"/>
      <c r="G3" s="1923"/>
      <c r="H3" s="1924" t="s">
        <v>424</v>
      </c>
      <c r="I3" s="1922"/>
      <c r="J3" s="1922"/>
      <c r="K3" s="1923"/>
      <c r="L3" s="1924" t="s">
        <v>425</v>
      </c>
      <c r="M3" s="1922"/>
      <c r="N3" s="1922"/>
      <c r="O3" s="1922"/>
      <c r="P3" s="1924" t="s">
        <v>426</v>
      </c>
      <c r="Q3" s="1923"/>
      <c r="R3" s="1922" t="s">
        <v>427</v>
      </c>
      <c r="S3" s="1923"/>
      <c r="T3" s="1922" t="s">
        <v>428</v>
      </c>
      <c r="U3" s="1927"/>
    </row>
    <row r="4" spans="2:21" s="1401" customFormat="1" ht="24.75" customHeight="1">
      <c r="B4" s="1916"/>
      <c r="C4" s="1919"/>
      <c r="D4" s="1239" t="s">
        <v>429</v>
      </c>
      <c r="E4" s="1238" t="s">
        <v>430</v>
      </c>
      <c r="F4" s="1238" t="s">
        <v>431</v>
      </c>
      <c r="G4" s="1237" t="s">
        <v>432</v>
      </c>
      <c r="H4" s="1236" t="s">
        <v>429</v>
      </c>
      <c r="I4" s="1238" t="s">
        <v>430</v>
      </c>
      <c r="J4" s="1238" t="s">
        <v>431</v>
      </c>
      <c r="K4" s="1237" t="s">
        <v>432</v>
      </c>
      <c r="L4" s="1235" t="s">
        <v>429</v>
      </c>
      <c r="M4" s="1238" t="s">
        <v>430</v>
      </c>
      <c r="N4" s="1238" t="s">
        <v>431</v>
      </c>
      <c r="O4" s="1234" t="s">
        <v>432</v>
      </c>
      <c r="P4" s="1928" t="s">
        <v>433</v>
      </c>
      <c r="Q4" s="1930" t="s">
        <v>434</v>
      </c>
      <c r="R4" s="1932" t="s">
        <v>435</v>
      </c>
      <c r="S4" s="1930" t="s">
        <v>434</v>
      </c>
      <c r="T4" s="1932" t="s">
        <v>435</v>
      </c>
      <c r="U4" s="1925" t="s">
        <v>436</v>
      </c>
    </row>
    <row r="5" spans="2:21" s="1401" customFormat="1" ht="24.75" customHeight="1" thickBot="1">
      <c r="B5" s="1917"/>
      <c r="C5" s="1920"/>
      <c r="D5" s="1233">
        <v>1</v>
      </c>
      <c r="E5" s="1232">
        <v>2</v>
      </c>
      <c r="F5" s="1232">
        <v>3</v>
      </c>
      <c r="G5" s="1231">
        <v>4</v>
      </c>
      <c r="H5" s="1230">
        <v>1</v>
      </c>
      <c r="I5" s="1232">
        <v>2</v>
      </c>
      <c r="J5" s="1232">
        <v>3</v>
      </c>
      <c r="K5" s="1231">
        <v>4</v>
      </c>
      <c r="L5" s="1229">
        <v>1</v>
      </c>
      <c r="M5" s="1232">
        <v>2</v>
      </c>
      <c r="N5" s="1232">
        <v>3</v>
      </c>
      <c r="O5" s="1232">
        <v>4</v>
      </c>
      <c r="P5" s="1929"/>
      <c r="Q5" s="1931"/>
      <c r="R5" s="1933"/>
      <c r="S5" s="1931"/>
      <c r="T5" s="1933"/>
      <c r="U5" s="1926"/>
    </row>
    <row r="6" spans="2:21" s="1401" customFormat="1" ht="24.75" customHeight="1">
      <c r="B6" s="1403">
        <v>1</v>
      </c>
      <c r="C6" s="1404"/>
      <c r="D6" s="1799"/>
      <c r="E6" s="1800"/>
      <c r="F6" s="1800"/>
      <c r="G6" s="1800"/>
      <c r="H6" s="1801"/>
      <c r="I6" s="1800"/>
      <c r="J6" s="1800"/>
      <c r="K6" s="1802"/>
      <c r="L6" s="1800"/>
      <c r="M6" s="1800"/>
      <c r="N6" s="1800"/>
      <c r="O6" s="1802"/>
      <c r="P6" s="1409" t="str">
        <f>IF(AND(D6="",E6="",F6="",G6=""),"",AVERAGE(D6:G6))</f>
        <v/>
      </c>
      <c r="Q6" s="1411" t="s">
        <v>437</v>
      </c>
      <c r="R6" s="1412" t="str">
        <f>IF(AND(H6="",I6="",J6="",K6=""),"",AVERAGE(H6:K6))</f>
        <v/>
      </c>
      <c r="S6" s="1411" t="s">
        <v>438</v>
      </c>
      <c r="T6" s="1412" t="str">
        <f>IF(AND(L6="",M6="",N6="",O6=""),"",AVERAGE(L6:O6))</f>
        <v/>
      </c>
      <c r="U6" s="1413" t="s">
        <v>439</v>
      </c>
    </row>
    <row r="7" spans="2:21" s="1401" customFormat="1" ht="24.75" customHeight="1">
      <c r="B7" s="1414">
        <v>2</v>
      </c>
      <c r="C7" s="1415"/>
      <c r="D7" s="1803"/>
      <c r="E7" s="1804"/>
      <c r="F7" s="1804"/>
      <c r="G7" s="1804"/>
      <c r="H7" s="1805"/>
      <c r="I7" s="1804"/>
      <c r="J7" s="1804"/>
      <c r="K7" s="1806"/>
      <c r="L7" s="1804"/>
      <c r="M7" s="1804"/>
      <c r="N7" s="1804"/>
      <c r="O7" s="1806"/>
      <c r="P7" s="1420"/>
      <c r="Q7" s="1421"/>
      <c r="R7" s="1410"/>
      <c r="S7" s="1421"/>
      <c r="T7" s="1410"/>
      <c r="U7" s="1422"/>
    </row>
    <row r="8" spans="2:21" s="1401" customFormat="1" ht="24.75" customHeight="1">
      <c r="B8" s="1414">
        <v>3</v>
      </c>
      <c r="C8" s="1415"/>
      <c r="D8" s="1803"/>
      <c r="E8" s="1804"/>
      <c r="F8" s="1804"/>
      <c r="G8" s="1804"/>
      <c r="H8" s="1805"/>
      <c r="I8" s="1804"/>
      <c r="J8" s="1804"/>
      <c r="K8" s="1806"/>
      <c r="L8" s="1804"/>
      <c r="M8" s="1804"/>
      <c r="N8" s="1804"/>
      <c r="O8" s="1806"/>
      <c r="P8" s="1423"/>
      <c r="Q8" s="1424"/>
      <c r="R8" s="1425"/>
      <c r="S8" s="1424"/>
      <c r="T8" s="1425"/>
      <c r="U8" s="1426"/>
    </row>
    <row r="9" spans="2:21" s="1401" customFormat="1" ht="24.75" customHeight="1">
      <c r="B9" s="1414">
        <v>4</v>
      </c>
      <c r="C9" s="1415"/>
      <c r="D9" s="1803"/>
      <c r="E9" s="1804"/>
      <c r="F9" s="1804"/>
      <c r="G9" s="1804"/>
      <c r="H9" s="1805"/>
      <c r="I9" s="1804"/>
      <c r="J9" s="1804"/>
      <c r="K9" s="1806"/>
      <c r="L9" s="1804"/>
      <c r="M9" s="1804"/>
      <c r="N9" s="1804"/>
      <c r="O9" s="1806"/>
      <c r="P9" s="1427"/>
      <c r="Q9" s="1424"/>
      <c r="R9" s="1428"/>
      <c r="S9" s="1424"/>
      <c r="T9" s="1428"/>
      <c r="U9" s="1426"/>
    </row>
    <row r="10" spans="2:21" s="1401" customFormat="1" ht="24.75" customHeight="1" thickBot="1">
      <c r="B10" s="1429">
        <v>5</v>
      </c>
      <c r="C10" s="1430"/>
      <c r="D10" s="1807"/>
      <c r="E10" s="1808"/>
      <c r="F10" s="1808"/>
      <c r="G10" s="1808"/>
      <c r="H10" s="1809"/>
      <c r="I10" s="1808"/>
      <c r="J10" s="1808"/>
      <c r="K10" s="1810"/>
      <c r="L10" s="1808"/>
      <c r="M10" s="1808"/>
      <c r="N10" s="1808"/>
      <c r="O10" s="1810"/>
      <c r="P10" s="1435"/>
      <c r="Q10" s="1436"/>
      <c r="R10" s="1437"/>
      <c r="S10" s="1436"/>
      <c r="T10" s="1437"/>
      <c r="U10" s="1438"/>
    </row>
    <row r="11" spans="2:21" s="1401" customFormat="1" ht="24.75" customHeight="1" thickTop="1">
      <c r="B11" s="1439">
        <v>6</v>
      </c>
      <c r="C11" s="1440" t="s">
        <v>294</v>
      </c>
      <c r="D11" s="1441">
        <v>0</v>
      </c>
      <c r="E11" s="1442">
        <v>1</v>
      </c>
      <c r="F11" s="1442">
        <v>1</v>
      </c>
      <c r="G11" s="1442">
        <v>0</v>
      </c>
      <c r="H11" s="1443">
        <v>24</v>
      </c>
      <c r="I11" s="1442">
        <v>11</v>
      </c>
      <c r="J11" s="1442">
        <v>21</v>
      </c>
      <c r="K11" s="1444">
        <v>16</v>
      </c>
      <c r="L11" s="1442">
        <v>0</v>
      </c>
      <c r="M11" s="1442">
        <v>0</v>
      </c>
      <c r="N11" s="1442">
        <v>0</v>
      </c>
      <c r="O11" s="1442">
        <v>0</v>
      </c>
      <c r="P11" s="1445">
        <f>IF(AND(D11="",E11="",F11="",G11=""),"",AVERAGE(D11:G11))</f>
        <v>0.5</v>
      </c>
      <c r="Q11" s="1446">
        <f>P11</f>
        <v>0.5</v>
      </c>
      <c r="R11" s="1447">
        <f>IF(AND(H11="",I11="",J11="",K11=""),"",AVERAGE(H11:K11))</f>
        <v>18</v>
      </c>
      <c r="S11" s="1448">
        <f>R11</f>
        <v>18</v>
      </c>
      <c r="T11" s="1412">
        <f>IF(AND(L11="",M11="",N11="",O11=""),"",AVERAGE(L11:O11))</f>
        <v>0</v>
      </c>
      <c r="U11" s="1449">
        <f>T11</f>
        <v>0</v>
      </c>
    </row>
    <row r="12" spans="2:21" s="1401" customFormat="1" ht="24.75" customHeight="1">
      <c r="B12" s="1414">
        <v>7</v>
      </c>
      <c r="C12" s="1415"/>
      <c r="D12" s="1416"/>
      <c r="E12" s="1417"/>
      <c r="F12" s="1417"/>
      <c r="G12" s="1417"/>
      <c r="H12" s="1418"/>
      <c r="I12" s="1417"/>
      <c r="J12" s="1417"/>
      <c r="K12" s="1419"/>
      <c r="L12" s="1417"/>
      <c r="M12" s="1417"/>
      <c r="N12" s="1417"/>
      <c r="O12" s="1417"/>
      <c r="P12" s="1420" t="str">
        <f>IF(AND(D12="",E12="",F12="",G12=""),"",AVERAGE(D12:G12))</f>
        <v/>
      </c>
      <c r="Q12" s="1421"/>
      <c r="R12" s="1410" t="str">
        <f>IF(AND(H12="",I12="",J12="",K12=""),"",AVERAGE(H12:K12))</f>
        <v/>
      </c>
      <c r="S12" s="1421"/>
      <c r="T12" s="1410" t="str">
        <f>IF(AND(L12="",M12="",N12="",O12=""),"",AVERAGE(L12:O12))</f>
        <v/>
      </c>
      <c r="U12" s="1422"/>
    </row>
    <row r="13" spans="2:21" s="1401" customFormat="1" ht="24.75" customHeight="1">
      <c r="B13" s="1414">
        <v>8</v>
      </c>
      <c r="C13" s="1415"/>
      <c r="D13" s="1416"/>
      <c r="E13" s="1417"/>
      <c r="F13" s="1417"/>
      <c r="G13" s="1417"/>
      <c r="H13" s="1418"/>
      <c r="I13" s="1417"/>
      <c r="J13" s="1417"/>
      <c r="K13" s="1419"/>
      <c r="L13" s="1417"/>
      <c r="M13" s="1417"/>
      <c r="N13" s="1417"/>
      <c r="O13" s="1417"/>
      <c r="P13" s="1423" t="str">
        <f t="shared" ref="P13:P14" si="0">IF(AND(D13="",E13="",F13="",G13=""),"",AVERAGE(D13:G13))</f>
        <v/>
      </c>
      <c r="Q13" s="1424"/>
      <c r="R13" s="1425" t="str">
        <f t="shared" ref="R13:R14" si="1">IF(AND(H13="",I13="",J13="",K13=""),"",AVERAGE(H13:K13))</f>
        <v/>
      </c>
      <c r="S13" s="1424"/>
      <c r="T13" s="1425" t="str">
        <f>IF(AND(L13="",M13="",N13="",O13=""),"",AVERAGE(L13:O13))</f>
        <v/>
      </c>
      <c r="U13" s="1426"/>
    </row>
    <row r="14" spans="2:21" s="1401" customFormat="1" ht="24.75" customHeight="1">
      <c r="B14" s="1414">
        <v>9</v>
      </c>
      <c r="C14" s="1415"/>
      <c r="D14" s="1416"/>
      <c r="E14" s="1417"/>
      <c r="F14" s="1417"/>
      <c r="G14" s="1417"/>
      <c r="H14" s="1418"/>
      <c r="I14" s="1417"/>
      <c r="J14" s="1417"/>
      <c r="K14" s="1419"/>
      <c r="L14" s="1417"/>
      <c r="M14" s="1417"/>
      <c r="N14" s="1417"/>
      <c r="O14" s="1450"/>
      <c r="P14" s="1427" t="str">
        <f t="shared" si="0"/>
        <v/>
      </c>
      <c r="Q14" s="1424"/>
      <c r="R14" s="1428" t="str">
        <f t="shared" si="1"/>
        <v/>
      </c>
      <c r="S14" s="1424"/>
      <c r="T14" s="1428" t="str">
        <f t="shared" ref="T14" si="2">IF(AND(L14="",M14="",N14="",O14=""),"",AVERAGE(L14:O14))</f>
        <v/>
      </c>
      <c r="U14" s="1426"/>
    </row>
    <row r="15" spans="2:21" s="1401" customFormat="1" ht="24.75" customHeight="1" thickBot="1">
      <c r="B15" s="1451">
        <v>10</v>
      </c>
      <c r="C15" s="1452"/>
      <c r="D15" s="1453"/>
      <c r="E15" s="1454"/>
      <c r="F15" s="1454"/>
      <c r="G15" s="1454"/>
      <c r="H15" s="1455"/>
      <c r="I15" s="1454"/>
      <c r="J15" s="1454"/>
      <c r="K15" s="1456"/>
      <c r="L15" s="1454"/>
      <c r="M15" s="1454"/>
      <c r="N15" s="1454"/>
      <c r="O15" s="1454"/>
      <c r="P15" s="1435" t="str">
        <f>IF(AND(D15="",E15="",F15="",G15=""),"",AVERAGE(D15:G15))</f>
        <v/>
      </c>
      <c r="Q15" s="1436"/>
      <c r="R15" s="1437" t="str">
        <f>IF(AND(H15="",I15="",J15="",K15=""),"",AVERAGE(H15:K15))</f>
        <v/>
      </c>
      <c r="S15" s="1436"/>
      <c r="T15" s="1437" t="str">
        <f>IF(AND(L15="",M15="",N15="",O15=""),"",AVERAGE(L15:O15))</f>
        <v/>
      </c>
      <c r="U15" s="1438"/>
    </row>
    <row r="16" spans="2:21" s="1401" customFormat="1" ht="24.75" customHeight="1" thickTop="1">
      <c r="B16" s="1403">
        <v>11</v>
      </c>
      <c r="C16" s="1404" t="s">
        <v>295</v>
      </c>
      <c r="D16" s="1441">
        <v>0</v>
      </c>
      <c r="E16" s="1442">
        <v>0</v>
      </c>
      <c r="F16" s="1442">
        <v>0</v>
      </c>
      <c r="G16" s="1442">
        <v>1</v>
      </c>
      <c r="H16" s="1443">
        <v>0</v>
      </c>
      <c r="I16" s="1442">
        <v>0</v>
      </c>
      <c r="J16" s="1442">
        <v>0</v>
      </c>
      <c r="K16" s="1444">
        <v>0</v>
      </c>
      <c r="L16" s="1442">
        <v>0</v>
      </c>
      <c r="M16" s="1442">
        <v>0</v>
      </c>
      <c r="N16" s="1442">
        <v>0</v>
      </c>
      <c r="O16" s="1442">
        <v>0</v>
      </c>
      <c r="P16" s="1445">
        <f>IF(AND(D16="",E16="",F16="",G16=""),"",AVERAGE(D16:G16))</f>
        <v>0.25</v>
      </c>
      <c r="Q16" s="1446">
        <f>P16</f>
        <v>0.25</v>
      </c>
      <c r="R16" s="1447">
        <f>IF(AND(H16="",I16="",J16="",K16=""),"",AVERAGE(H16:K16))</f>
        <v>0</v>
      </c>
      <c r="S16" s="1448">
        <f>R16</f>
        <v>0</v>
      </c>
      <c r="T16" s="1412">
        <f>IF(AND(L16="",M16="",N16="",O16=""),"",AVERAGE(L16:O16))</f>
        <v>0</v>
      </c>
      <c r="U16" s="1449">
        <f>T16</f>
        <v>0</v>
      </c>
    </row>
    <row r="17" spans="2:21" s="1401" customFormat="1" ht="24.75" customHeight="1">
      <c r="B17" s="1414">
        <v>12</v>
      </c>
      <c r="C17" s="1415"/>
      <c r="D17" s="1416"/>
      <c r="E17" s="1417"/>
      <c r="F17" s="1417"/>
      <c r="G17" s="1417"/>
      <c r="H17" s="1418"/>
      <c r="I17" s="1417"/>
      <c r="J17" s="1417"/>
      <c r="K17" s="1419"/>
      <c r="L17" s="1417"/>
      <c r="M17" s="1417"/>
      <c r="N17" s="1417"/>
      <c r="O17" s="1417"/>
      <c r="P17" s="1420" t="str">
        <f>IF(AND(D17="",E17="",F17="",G17=""),"",AVERAGE(D17:G17))</f>
        <v/>
      </c>
      <c r="Q17" s="1421"/>
      <c r="R17" s="1410" t="str">
        <f>IF(AND(H17="",I17="",J17="",K17=""),"",AVERAGE(H17:K17))</f>
        <v/>
      </c>
      <c r="S17" s="1421"/>
      <c r="T17" s="1410" t="str">
        <f>IF(AND(L17="",M17="",N17="",O17=""),"",AVERAGE(L17:O17))</f>
        <v/>
      </c>
      <c r="U17" s="1422"/>
    </row>
    <row r="18" spans="2:21" s="1401" customFormat="1" ht="24.75" customHeight="1">
      <c r="B18" s="1414">
        <v>13</v>
      </c>
      <c r="C18" s="1415"/>
      <c r="D18" s="1416"/>
      <c r="E18" s="1417"/>
      <c r="F18" s="1417"/>
      <c r="G18" s="1417"/>
      <c r="H18" s="1418"/>
      <c r="I18" s="1417"/>
      <c r="J18" s="1417"/>
      <c r="K18" s="1419"/>
      <c r="L18" s="1417"/>
      <c r="M18" s="1417"/>
      <c r="N18" s="1417"/>
      <c r="O18" s="1417"/>
      <c r="P18" s="1423" t="str">
        <f t="shared" ref="P18:P19" si="3">IF(AND(D18="",E18="",F18="",G18=""),"",AVERAGE(D18:G18))</f>
        <v/>
      </c>
      <c r="Q18" s="1424"/>
      <c r="R18" s="1425" t="str">
        <f t="shared" ref="R18:R19" si="4">IF(AND(H18="",I18="",J18="",K18=""),"",AVERAGE(H18:K18))</f>
        <v/>
      </c>
      <c r="S18" s="1424"/>
      <c r="T18" s="1425" t="str">
        <f>IF(AND(L18="",M18="",N18="",O18=""),"",AVERAGE(L18:O18))</f>
        <v/>
      </c>
      <c r="U18" s="1426"/>
    </row>
    <row r="19" spans="2:21" s="1401" customFormat="1" ht="24.75" customHeight="1">
      <c r="B19" s="1414">
        <v>14</v>
      </c>
      <c r="C19" s="1415"/>
      <c r="D19" s="1416"/>
      <c r="E19" s="1417"/>
      <c r="F19" s="1417"/>
      <c r="G19" s="1417"/>
      <c r="H19" s="1418"/>
      <c r="I19" s="1417"/>
      <c r="J19" s="1417"/>
      <c r="K19" s="1419"/>
      <c r="L19" s="1417"/>
      <c r="M19" s="1417"/>
      <c r="N19" s="1417"/>
      <c r="O19" s="1417"/>
      <c r="P19" s="1427" t="str">
        <f t="shared" si="3"/>
        <v/>
      </c>
      <c r="Q19" s="1424"/>
      <c r="R19" s="1428" t="str">
        <f t="shared" si="4"/>
        <v/>
      </c>
      <c r="S19" s="1424"/>
      <c r="T19" s="1428" t="str">
        <f t="shared" ref="T19" si="5">IF(AND(L19="",M19="",N19="",O19=""),"",AVERAGE(L19:O19))</f>
        <v/>
      </c>
      <c r="U19" s="1426"/>
    </row>
    <row r="20" spans="2:21" s="1401" customFormat="1" ht="24.75" customHeight="1" thickBot="1">
      <c r="B20" s="1429">
        <v>15</v>
      </c>
      <c r="C20" s="1430"/>
      <c r="D20" s="1431"/>
      <c r="E20" s="1432"/>
      <c r="F20" s="1432"/>
      <c r="G20" s="1432"/>
      <c r="H20" s="1433"/>
      <c r="I20" s="1432"/>
      <c r="J20" s="1432"/>
      <c r="K20" s="1434"/>
      <c r="L20" s="1432"/>
      <c r="M20" s="1432"/>
      <c r="N20" s="1432"/>
      <c r="O20" s="1432"/>
      <c r="P20" s="1435" t="str">
        <f>IF(AND(D20="",E20="",F20="",G20=""),"",AVERAGE(D20:G20))</f>
        <v/>
      </c>
      <c r="Q20" s="1436"/>
      <c r="R20" s="1437" t="str">
        <f>IF(AND(H20="",I20="",J20="",K20=""),"",AVERAGE(H20:K20))</f>
        <v/>
      </c>
      <c r="S20" s="1436"/>
      <c r="T20" s="1437" t="str">
        <f>IF(AND(L20="",M20="",N20="",O20=""),"",AVERAGE(L20:O20))</f>
        <v/>
      </c>
      <c r="U20" s="1438"/>
    </row>
    <row r="21" spans="2:21" s="1401" customFormat="1" ht="24.75" customHeight="1" thickTop="1">
      <c r="B21" s="1439">
        <v>16</v>
      </c>
      <c r="C21" s="1440" t="s">
        <v>296</v>
      </c>
      <c r="D21" s="1441">
        <v>0</v>
      </c>
      <c r="E21" s="1442">
        <v>0</v>
      </c>
      <c r="F21" s="1442">
        <v>0</v>
      </c>
      <c r="G21" s="1442">
        <v>0</v>
      </c>
      <c r="H21" s="1443">
        <v>0</v>
      </c>
      <c r="I21" s="1442">
        <v>0</v>
      </c>
      <c r="J21" s="1442">
        <v>0</v>
      </c>
      <c r="K21" s="1444">
        <v>0</v>
      </c>
      <c r="L21" s="1442">
        <v>0</v>
      </c>
      <c r="M21" s="1442">
        <v>0</v>
      </c>
      <c r="N21" s="1442">
        <v>0</v>
      </c>
      <c r="O21" s="1442">
        <v>0</v>
      </c>
      <c r="P21" s="1445">
        <f>IF(AND(D21="",E21="",F21="",G21=""),"",AVERAGE(D21:G21))</f>
        <v>0</v>
      </c>
      <c r="Q21" s="1446">
        <f>P21</f>
        <v>0</v>
      </c>
      <c r="R21" s="1447">
        <f>IF(AND(H21="",I21="",J21="",K21=""),"",AVERAGE(H21:K21))</f>
        <v>0</v>
      </c>
      <c r="S21" s="1448">
        <f>R21</f>
        <v>0</v>
      </c>
      <c r="T21" s="1412">
        <f>IF(AND(L21="",M21="",N21="",O21=""),"",AVERAGE(L21:O21))</f>
        <v>0</v>
      </c>
      <c r="U21" s="1449">
        <f>T21</f>
        <v>0</v>
      </c>
    </row>
    <row r="22" spans="2:21" s="1401" customFormat="1" ht="24.75" customHeight="1">
      <c r="B22" s="1414">
        <v>17</v>
      </c>
      <c r="C22" s="1415"/>
      <c r="D22" s="1416"/>
      <c r="E22" s="1417"/>
      <c r="F22" s="1417"/>
      <c r="G22" s="1417"/>
      <c r="H22" s="1418"/>
      <c r="I22" s="1417"/>
      <c r="J22" s="1417"/>
      <c r="K22" s="1419"/>
      <c r="L22" s="1417"/>
      <c r="M22" s="1417"/>
      <c r="N22" s="1417"/>
      <c r="O22" s="1417"/>
      <c r="P22" s="1420" t="str">
        <f>IF(AND(D22="",E22="",F22="",G22=""),"",AVERAGE(D22:G22))</f>
        <v/>
      </c>
      <c r="Q22" s="1421"/>
      <c r="R22" s="1410" t="str">
        <f>IF(AND(H22="",I22="",J22="",K22=""),"",AVERAGE(H22:K22))</f>
        <v/>
      </c>
      <c r="S22" s="1421"/>
      <c r="T22" s="1410" t="str">
        <f>IF(AND(L22="",M22="",N22="",O22=""),"",AVERAGE(L22:O22))</f>
        <v/>
      </c>
      <c r="U22" s="1422"/>
    </row>
    <row r="23" spans="2:21" s="1401" customFormat="1" ht="24.75" customHeight="1">
      <c r="B23" s="1414">
        <v>18</v>
      </c>
      <c r="C23" s="1415"/>
      <c r="D23" s="1416"/>
      <c r="E23" s="1417"/>
      <c r="F23" s="1417"/>
      <c r="G23" s="1417"/>
      <c r="H23" s="1418"/>
      <c r="I23" s="1417"/>
      <c r="J23" s="1417"/>
      <c r="K23" s="1419"/>
      <c r="L23" s="1417"/>
      <c r="M23" s="1417"/>
      <c r="N23" s="1417"/>
      <c r="O23" s="1417"/>
      <c r="P23" s="1423" t="str">
        <f t="shared" ref="P23:P24" si="6">IF(AND(D23="",E23="",F23="",G23=""),"",AVERAGE(D23:G23))</f>
        <v/>
      </c>
      <c r="Q23" s="1424"/>
      <c r="R23" s="1425" t="str">
        <f t="shared" ref="R23:R24" si="7">IF(AND(H23="",I23="",J23="",K23=""),"",AVERAGE(H23:K23))</f>
        <v/>
      </c>
      <c r="S23" s="1424"/>
      <c r="T23" s="1425" t="str">
        <f>IF(AND(L23="",M23="",N23="",O23=""),"",AVERAGE(L23:O23))</f>
        <v/>
      </c>
      <c r="U23" s="1426"/>
    </row>
    <row r="24" spans="2:21" s="1401" customFormat="1" ht="24.75" customHeight="1">
      <c r="B24" s="1414">
        <v>19</v>
      </c>
      <c r="C24" s="1415"/>
      <c r="D24" s="1416"/>
      <c r="E24" s="1417"/>
      <c r="F24" s="1417"/>
      <c r="G24" s="1417"/>
      <c r="H24" s="1418"/>
      <c r="I24" s="1417"/>
      <c r="J24" s="1417"/>
      <c r="K24" s="1419"/>
      <c r="L24" s="1417"/>
      <c r="M24" s="1417"/>
      <c r="N24" s="1417"/>
      <c r="O24" s="1417"/>
      <c r="P24" s="1427" t="str">
        <f t="shared" si="6"/>
        <v/>
      </c>
      <c r="Q24" s="1424"/>
      <c r="R24" s="1428" t="str">
        <f t="shared" si="7"/>
        <v/>
      </c>
      <c r="S24" s="1424"/>
      <c r="T24" s="1428" t="str">
        <f t="shared" ref="T24" si="8">IF(AND(L24="",M24="",N24="",O24=""),"",AVERAGE(L24:O24))</f>
        <v/>
      </c>
      <c r="U24" s="1426"/>
    </row>
    <row r="25" spans="2:21" s="1401" customFormat="1" ht="24.75" customHeight="1" thickBot="1">
      <c r="B25" s="1451">
        <v>20</v>
      </c>
      <c r="C25" s="1452"/>
      <c r="D25" s="1453"/>
      <c r="E25" s="1454"/>
      <c r="F25" s="1454"/>
      <c r="G25" s="1454"/>
      <c r="H25" s="1455"/>
      <c r="I25" s="1454"/>
      <c r="J25" s="1454"/>
      <c r="K25" s="1456"/>
      <c r="L25" s="1454"/>
      <c r="M25" s="1454"/>
      <c r="N25" s="1454"/>
      <c r="O25" s="1454"/>
      <c r="P25" s="1435" t="str">
        <f>IF(AND(D25="",E25="",F25="",G25=""),"",AVERAGE(D25:G25))</f>
        <v/>
      </c>
      <c r="Q25" s="1436"/>
      <c r="R25" s="1437" t="str">
        <f>IF(AND(H25="",I25="",J25="",K25=""),"",AVERAGE(H25:K25))</f>
        <v/>
      </c>
      <c r="S25" s="1436"/>
      <c r="T25" s="1437" t="str">
        <f>IF(AND(L25="",M25="",N25="",O25=""),"",AVERAGE(L25:O25))</f>
        <v/>
      </c>
      <c r="U25" s="1438"/>
    </row>
    <row r="26" spans="2:21" s="1401" customFormat="1" ht="24.75" customHeight="1" thickTop="1">
      <c r="B26" s="1403">
        <v>21</v>
      </c>
      <c r="C26" s="1404"/>
      <c r="D26" s="1405"/>
      <c r="E26" s="1406"/>
      <c r="F26" s="1406"/>
      <c r="G26" s="1406"/>
      <c r="H26" s="1407"/>
      <c r="I26" s="1406"/>
      <c r="J26" s="1406"/>
      <c r="K26" s="1408"/>
      <c r="L26" s="1406"/>
      <c r="M26" s="1406"/>
      <c r="N26" s="1406"/>
      <c r="O26" s="1406"/>
      <c r="P26" s="1445" t="str">
        <f>IF(AND(D26="",E26="",F26="",G26=""),"",AVERAGE(D26:G26))</f>
        <v/>
      </c>
      <c r="Q26" s="1812">
        <f>P28*5/7</f>
        <v>0.17857142857142858</v>
      </c>
      <c r="R26" s="1447" t="str">
        <f>IF(AND(H26="",I26="",J26="",K26=""),"",AVERAGE(H26:K26))</f>
        <v/>
      </c>
      <c r="S26" s="1811">
        <f>R28*5/7</f>
        <v>9.6428571428571423</v>
      </c>
      <c r="T26" s="1412" t="str">
        <f>IF(AND(L26="",M26="",N26="",O26=""),"",AVERAGE(L26:O26))</f>
        <v/>
      </c>
      <c r="U26" s="1449">
        <f>T28*5/7</f>
        <v>0</v>
      </c>
    </row>
    <row r="27" spans="2:21" s="1401" customFormat="1" ht="24.75" customHeight="1">
      <c r="B27" s="1414">
        <v>22</v>
      </c>
      <c r="C27" s="1415"/>
      <c r="D27" s="1416"/>
      <c r="E27" s="1417"/>
      <c r="F27" s="1417"/>
      <c r="G27" s="1417"/>
      <c r="H27" s="1418"/>
      <c r="I27" s="1417"/>
      <c r="J27" s="1417"/>
      <c r="K27" s="1419"/>
      <c r="L27" s="1417"/>
      <c r="M27" s="1417"/>
      <c r="N27" s="1417"/>
      <c r="O27" s="1417"/>
      <c r="P27" s="1420" t="str">
        <f>IF(AND(D27="",E27="",F27="",G27=""),"",AVERAGE(D27:G27))</f>
        <v/>
      </c>
      <c r="Q27" s="1421"/>
      <c r="R27" s="1410" t="str">
        <f>IF(AND(H27="",I27="",J27="",K27=""),"",AVERAGE(H27:K27))</f>
        <v/>
      </c>
      <c r="S27" s="1421"/>
      <c r="T27" s="1410" t="str">
        <f>IF(AND(L27="",M27="",N27="",O27=""),"",AVERAGE(L27:O27))</f>
        <v/>
      </c>
      <c r="U27" s="1422"/>
    </row>
    <row r="28" spans="2:21" s="1401" customFormat="1" ht="24.75" customHeight="1">
      <c r="B28" s="1414">
        <v>23</v>
      </c>
      <c r="C28" s="1415" t="s">
        <v>297</v>
      </c>
      <c r="D28" s="1416">
        <v>0</v>
      </c>
      <c r="E28" s="1417">
        <v>0</v>
      </c>
      <c r="F28" s="1417">
        <v>0</v>
      </c>
      <c r="G28" s="1417">
        <v>1</v>
      </c>
      <c r="H28" s="1418">
        <v>12</v>
      </c>
      <c r="I28" s="1417">
        <v>17</v>
      </c>
      <c r="J28" s="1417">
        <v>19</v>
      </c>
      <c r="K28" s="1419">
        <v>6</v>
      </c>
      <c r="L28" s="1417">
        <v>0</v>
      </c>
      <c r="M28" s="1417">
        <v>0</v>
      </c>
      <c r="N28" s="1417">
        <v>0</v>
      </c>
      <c r="O28" s="1417">
        <v>0</v>
      </c>
      <c r="P28" s="1423">
        <f t="shared" ref="P28:P29" si="9">IF(AND(D28="",E28="",F28="",G28=""),"",AVERAGE(D28:G28))</f>
        <v>0.25</v>
      </c>
      <c r="Q28" s="1424"/>
      <c r="R28" s="1425">
        <f t="shared" ref="R28:R29" si="10">IF(AND(H28="",I28="",J28="",K28=""),"",AVERAGE(H28:K28))</f>
        <v>13.5</v>
      </c>
      <c r="S28" s="1424"/>
      <c r="T28" s="1425">
        <f>IF(AND(L28="",M28="",N28="",O28=""),"",AVERAGE(L28:O28))</f>
        <v>0</v>
      </c>
      <c r="U28" s="1426"/>
    </row>
    <row r="29" spans="2:21" s="1401" customFormat="1" ht="24.75" customHeight="1">
      <c r="B29" s="1414">
        <v>24</v>
      </c>
      <c r="C29" s="1415"/>
      <c r="D29" s="1416"/>
      <c r="E29" s="1417"/>
      <c r="F29" s="1417"/>
      <c r="G29" s="1417"/>
      <c r="H29" s="1418"/>
      <c r="I29" s="1417"/>
      <c r="J29" s="1417"/>
      <c r="K29" s="1419"/>
      <c r="L29" s="1417"/>
      <c r="M29" s="1417"/>
      <c r="N29" s="1417"/>
      <c r="O29" s="1417"/>
      <c r="P29" s="1427" t="str">
        <f t="shared" si="9"/>
        <v/>
      </c>
      <c r="Q29" s="1424"/>
      <c r="R29" s="1428" t="str">
        <f t="shared" si="10"/>
        <v/>
      </c>
      <c r="S29" s="1424"/>
      <c r="T29" s="1428" t="str">
        <f t="shared" ref="T29" si="11">IF(AND(L29="",M29="",N29="",O29=""),"",AVERAGE(L29:O29))</f>
        <v/>
      </c>
      <c r="U29" s="1426"/>
    </row>
    <row r="30" spans="2:21" s="1401" customFormat="1" ht="24.75" customHeight="1" thickBot="1">
      <c r="B30" s="1429">
        <v>25</v>
      </c>
      <c r="C30" s="1430"/>
      <c r="D30" s="1431"/>
      <c r="E30" s="1432"/>
      <c r="F30" s="1432"/>
      <c r="G30" s="1432"/>
      <c r="H30" s="1433"/>
      <c r="I30" s="1432"/>
      <c r="J30" s="1432"/>
      <c r="K30" s="1434"/>
      <c r="L30" s="1432"/>
      <c r="M30" s="1432"/>
      <c r="N30" s="1432"/>
      <c r="O30" s="1432"/>
      <c r="P30" s="1435" t="str">
        <f>IF(AND(D30="",E30="",F30="",G30=""),"",AVERAGE(D30:G30))</f>
        <v/>
      </c>
      <c r="Q30" s="1436"/>
      <c r="R30" s="1437" t="str">
        <f>IF(AND(H30="",I30="",J30="",K30=""),"",AVERAGE(H30:K30))</f>
        <v/>
      </c>
      <c r="S30" s="1436"/>
      <c r="T30" s="1437" t="str">
        <f>IF(AND(L30="",M30="",N30="",O30=""),"",AVERAGE(L30:O30))</f>
        <v/>
      </c>
      <c r="U30" s="1438"/>
    </row>
    <row r="31" spans="2:21" s="1401" customFormat="1" ht="24.75" customHeight="1" thickTop="1">
      <c r="B31" s="1439">
        <v>26</v>
      </c>
      <c r="C31" s="1440" t="s">
        <v>298</v>
      </c>
      <c r="D31" s="1441">
        <v>0</v>
      </c>
      <c r="E31" s="1442">
        <v>0</v>
      </c>
      <c r="F31" s="1442">
        <v>0</v>
      </c>
      <c r="G31" s="1442">
        <v>1</v>
      </c>
      <c r="H31" s="1443">
        <v>14</v>
      </c>
      <c r="I31" s="1442">
        <v>16</v>
      </c>
      <c r="J31" s="1442">
        <v>21</v>
      </c>
      <c r="K31" s="1444">
        <v>25</v>
      </c>
      <c r="L31" s="1442">
        <v>0</v>
      </c>
      <c r="M31" s="1442">
        <v>0</v>
      </c>
      <c r="N31" s="1442">
        <v>0</v>
      </c>
      <c r="O31" s="1442">
        <v>0</v>
      </c>
      <c r="P31" s="1445">
        <f>IF(AND(D31="",E31="",F31="",G31=""),"",AVERAGE(D31:G31))</f>
        <v>0.25</v>
      </c>
      <c r="Q31" s="1812">
        <f>P28*2/7+P31</f>
        <v>0.3214285714285714</v>
      </c>
      <c r="R31" s="1447">
        <f>IF(AND(H31="",I31="",J31="",K31=""),"",AVERAGE(H31:K31))</f>
        <v>19</v>
      </c>
      <c r="S31" s="1811">
        <f>R28*2/7+R31</f>
        <v>22.857142857142858</v>
      </c>
      <c r="T31" s="1412">
        <f>IF(AND(L31="",M31="",N31="",O31=""),"",AVERAGE(L31:O31))</f>
        <v>0</v>
      </c>
      <c r="U31" s="1813">
        <f>T28*2/7+T31</f>
        <v>0</v>
      </c>
    </row>
    <row r="32" spans="2:21" s="1401" customFormat="1" ht="24.75" customHeight="1">
      <c r="B32" s="1414">
        <v>27</v>
      </c>
      <c r="C32" s="1415"/>
      <c r="D32" s="1416"/>
      <c r="E32" s="1417"/>
      <c r="F32" s="1417"/>
      <c r="G32" s="1417"/>
      <c r="H32" s="1418"/>
      <c r="I32" s="1417"/>
      <c r="J32" s="1417"/>
      <c r="K32" s="1419"/>
      <c r="L32" s="1417"/>
      <c r="M32" s="1417"/>
      <c r="N32" s="1417"/>
      <c r="O32" s="1417"/>
      <c r="P32" s="1420" t="str">
        <f>IF(AND(D32="",E32="",F32="",G32=""),"",AVERAGE(D32:G32))</f>
        <v/>
      </c>
      <c r="Q32" s="1421"/>
      <c r="R32" s="1410" t="str">
        <f>IF(AND(H32="",I32="",J32="",K32=""),"",AVERAGE(H32:K32))</f>
        <v/>
      </c>
      <c r="S32" s="1421"/>
      <c r="T32" s="1410" t="str">
        <f>IF(AND(L32="",M32="",N32="",O32=""),"",AVERAGE(L32:O32))</f>
        <v/>
      </c>
      <c r="U32" s="1422"/>
    </row>
    <row r="33" spans="1:22" s="1401" customFormat="1" ht="24.75" customHeight="1">
      <c r="B33" s="1414">
        <v>28</v>
      </c>
      <c r="C33" s="1415"/>
      <c r="D33" s="1416"/>
      <c r="E33" s="1417"/>
      <c r="F33" s="1417"/>
      <c r="G33" s="1417"/>
      <c r="H33" s="1418"/>
      <c r="I33" s="1417"/>
      <c r="J33" s="1417"/>
      <c r="K33" s="1419"/>
      <c r="L33" s="1417"/>
      <c r="M33" s="1417"/>
      <c r="N33" s="1417"/>
      <c r="O33" s="1417"/>
      <c r="P33" s="1423" t="str">
        <f t="shared" ref="P33:P34" si="12">IF(AND(D33="",E33="",F33="",G33=""),"",AVERAGE(D33:G33))</f>
        <v/>
      </c>
      <c r="Q33" s="1424"/>
      <c r="R33" s="1425" t="str">
        <f t="shared" ref="R33:R34" si="13">IF(AND(H33="",I33="",J33="",K33=""),"",AVERAGE(H33:K33))</f>
        <v/>
      </c>
      <c r="S33" s="1424"/>
      <c r="T33" s="1425" t="str">
        <f>IF(AND(L33="",M33="",N33="",O33=""),"",AVERAGE(L33:O33))</f>
        <v/>
      </c>
      <c r="U33" s="1426"/>
    </row>
    <row r="34" spans="1:22" s="1401" customFormat="1" ht="24.75" customHeight="1">
      <c r="B34" s="1414">
        <v>29</v>
      </c>
      <c r="C34" s="1415"/>
      <c r="D34" s="1416"/>
      <c r="E34" s="1417"/>
      <c r="F34" s="1417"/>
      <c r="G34" s="1417"/>
      <c r="H34" s="1418"/>
      <c r="I34" s="1417"/>
      <c r="J34" s="1417"/>
      <c r="K34" s="1419"/>
      <c r="L34" s="1417"/>
      <c r="M34" s="1417"/>
      <c r="N34" s="1417"/>
      <c r="O34" s="1417"/>
      <c r="P34" s="1427" t="str">
        <f t="shared" si="12"/>
        <v/>
      </c>
      <c r="Q34" s="1424"/>
      <c r="R34" s="1428" t="str">
        <f t="shared" si="13"/>
        <v/>
      </c>
      <c r="S34" s="1424"/>
      <c r="T34" s="1428" t="str">
        <f t="shared" ref="T34" si="14">IF(AND(L34="",M34="",N34="",O34=""),"",AVERAGE(L34:O34))</f>
        <v/>
      </c>
      <c r="U34" s="1426"/>
    </row>
    <row r="35" spans="1:22" s="1401" customFormat="1" ht="24.75" customHeight="1">
      <c r="B35" s="1414">
        <v>30</v>
      </c>
      <c r="C35" s="1415"/>
      <c r="D35" s="1416"/>
      <c r="E35" s="1417"/>
      <c r="F35" s="1417"/>
      <c r="G35" s="1417"/>
      <c r="H35" s="1418"/>
      <c r="I35" s="1417"/>
      <c r="J35" s="1417"/>
      <c r="K35" s="1419"/>
      <c r="L35" s="1417"/>
      <c r="M35" s="1417"/>
      <c r="N35" s="1417"/>
      <c r="O35" s="1417"/>
      <c r="P35" s="1427" t="str">
        <f>IF(AND(D35="",E35="",F35="",G35=""),"",AVERAGE(D35:G35))</f>
        <v/>
      </c>
      <c r="Q35" s="1424"/>
      <c r="R35" s="1428" t="str">
        <f>IF(AND(H35="",I35="",J35="",K35=""),"",AVERAGE(H35:K35))</f>
        <v/>
      </c>
      <c r="S35" s="1424"/>
      <c r="T35" s="1428" t="str">
        <f>IF(AND(L35="",M35="",N35="",O35=""),"",AVERAGE(L35:O35))</f>
        <v/>
      </c>
      <c r="U35" s="1457"/>
    </row>
    <row r="36" spans="1:22" s="1401" customFormat="1" ht="24.75" customHeight="1" thickBot="1">
      <c r="B36" s="1451">
        <v>31</v>
      </c>
      <c r="C36" s="1452"/>
      <c r="D36" s="1453"/>
      <c r="E36" s="1454"/>
      <c r="F36" s="1454"/>
      <c r="G36" s="1454"/>
      <c r="H36" s="1455"/>
      <c r="I36" s="1454"/>
      <c r="J36" s="1454"/>
      <c r="K36" s="1456"/>
      <c r="L36" s="1454"/>
      <c r="M36" s="1454"/>
      <c r="N36" s="1454"/>
      <c r="O36" s="1454"/>
      <c r="P36" s="1427" t="str">
        <f>IF(AND(D36="",E36="",F36="",G36=""),"",AVERAGE(D36:G36))</f>
        <v/>
      </c>
      <c r="Q36" s="1458"/>
      <c r="R36" s="1435" t="str">
        <f>IF(AND(H36="",I36="",J36="",K36=""),"",AVERAGE(H36:K36))</f>
        <v/>
      </c>
      <c r="S36" s="1458"/>
      <c r="T36" s="1435" t="str">
        <f>IF(AND(L36="",M36="",N36="",O36=""),"",AVERAGE(L36:O36))</f>
        <v/>
      </c>
      <c r="U36" s="1426"/>
      <c r="V36" s="1459"/>
    </row>
    <row r="37" spans="1:22" s="1401" customFormat="1" ht="24.75" customHeight="1" thickTop="1">
      <c r="B37" s="1403">
        <v>1</v>
      </c>
      <c r="C37" s="1404" t="s">
        <v>299</v>
      </c>
      <c r="D37" s="1405">
        <v>3</v>
      </c>
      <c r="E37" s="1406">
        <v>1</v>
      </c>
      <c r="F37" s="1406">
        <v>2</v>
      </c>
      <c r="G37" s="1406">
        <v>3</v>
      </c>
      <c r="H37" s="1407">
        <v>81</v>
      </c>
      <c r="I37" s="1406">
        <v>38</v>
      </c>
      <c r="J37" s="1406">
        <v>63</v>
      </c>
      <c r="K37" s="1408">
        <v>59</v>
      </c>
      <c r="L37" s="1406">
        <v>0</v>
      </c>
      <c r="M37" s="1406">
        <v>0</v>
      </c>
      <c r="N37" s="1406">
        <v>0</v>
      </c>
      <c r="O37" s="1406">
        <v>0</v>
      </c>
      <c r="P37" s="1445">
        <f>IF(AND(D37="",E37="",F37="",G37=""),"",AVERAGE(D37:G37))</f>
        <v>2.25</v>
      </c>
      <c r="Q37" s="1814">
        <f>G37*5/7</f>
        <v>2.1428571428571428</v>
      </c>
      <c r="R37" s="1412">
        <f>IF(AND(H37="",I37="",J37="",K37=""),"",AVERAGE(H37:K37))</f>
        <v>60.25</v>
      </c>
      <c r="S37" s="1815">
        <f>K37*5/7</f>
        <v>42.142857142857146</v>
      </c>
      <c r="T37" s="1412">
        <f>IF(AND(L37="",M37="",N37="",O37=""),"",AVERAGE(L37:O37))</f>
        <v>0</v>
      </c>
      <c r="U37" s="1449">
        <f>O37*5/7</f>
        <v>0</v>
      </c>
    </row>
    <row r="38" spans="1:22" s="1401" customFormat="1" ht="24.75" customHeight="1">
      <c r="B38" s="1414">
        <v>2</v>
      </c>
      <c r="C38" s="1415"/>
      <c r="D38" s="1416"/>
      <c r="E38" s="1417"/>
      <c r="F38" s="1417"/>
      <c r="G38" s="1417"/>
      <c r="H38" s="1418"/>
      <c r="I38" s="1417"/>
      <c r="J38" s="1417"/>
      <c r="K38" s="1419"/>
      <c r="L38" s="1417"/>
      <c r="M38" s="1417"/>
      <c r="N38" s="1417"/>
      <c r="O38" s="1417"/>
      <c r="P38" s="1420" t="str">
        <f>IF(AND(D38="",E38="",F38="",G38=""),"",AVERAGE(D38:G38))</f>
        <v/>
      </c>
      <c r="Q38" s="1421"/>
      <c r="R38" s="1410" t="str">
        <f>IF(AND(H38="",I38="",J38="",K38=""),"",AVERAGE(H38:K38))</f>
        <v/>
      </c>
      <c r="S38" s="1421"/>
      <c r="T38" s="1410" t="str">
        <f>IF(AND(L38="",M38="",N38="",O38=""),"",AVERAGE(L38:O38))</f>
        <v/>
      </c>
      <c r="U38" s="1422"/>
    </row>
    <row r="39" spans="1:22" s="1401" customFormat="1" ht="24.75" customHeight="1">
      <c r="B39" s="1414">
        <v>3</v>
      </c>
      <c r="C39" s="1415"/>
      <c r="D39" s="1416"/>
      <c r="E39" s="1417"/>
      <c r="F39" s="1417"/>
      <c r="G39" s="1417"/>
      <c r="H39" s="1418"/>
      <c r="I39" s="1417"/>
      <c r="J39" s="1417"/>
      <c r="K39" s="1419"/>
      <c r="L39" s="1417"/>
      <c r="M39" s="1417"/>
      <c r="N39" s="1417"/>
      <c r="O39" s="1417"/>
      <c r="P39" s="1423" t="str">
        <f t="shared" ref="P39:P40" si="15">IF(AND(D39="",E39="",F39="",G39=""),"",AVERAGE(D39:G39))</f>
        <v/>
      </c>
      <c r="Q39" s="1424"/>
      <c r="R39" s="1425" t="str">
        <f t="shared" ref="R39:R40" si="16">IF(AND(H39="",I39="",J39="",K39=""),"",AVERAGE(H39:K39))</f>
        <v/>
      </c>
      <c r="S39" s="1424"/>
      <c r="T39" s="1425" t="str">
        <f>IF(AND(L39="",M39="",N39="",O39=""),"",AVERAGE(L39:O39))</f>
        <v/>
      </c>
      <c r="U39" s="1426"/>
    </row>
    <row r="40" spans="1:22" s="1401" customFormat="1" ht="24.75" customHeight="1">
      <c r="B40" s="1414">
        <v>4</v>
      </c>
      <c r="C40" s="1415"/>
      <c r="D40" s="1416"/>
      <c r="E40" s="1417"/>
      <c r="F40" s="1417"/>
      <c r="G40" s="1417"/>
      <c r="H40" s="1418"/>
      <c r="I40" s="1417"/>
      <c r="J40" s="1417"/>
      <c r="K40" s="1419"/>
      <c r="L40" s="1417"/>
      <c r="M40" s="1417"/>
      <c r="N40" s="1417"/>
      <c r="O40" s="1417"/>
      <c r="P40" s="1427" t="str">
        <f t="shared" si="15"/>
        <v/>
      </c>
      <c r="Q40" s="1424"/>
      <c r="R40" s="1428" t="str">
        <f t="shared" si="16"/>
        <v/>
      </c>
      <c r="S40" s="1424"/>
      <c r="T40" s="1428" t="str">
        <f t="shared" ref="T40" si="17">IF(AND(L40="",M40="",N40="",O40=""),"",AVERAGE(L40:O40))</f>
        <v/>
      </c>
      <c r="U40" s="1426"/>
    </row>
    <row r="41" spans="1:22" s="1401" customFormat="1" ht="24.75" customHeight="1" thickBot="1">
      <c r="B41" s="1460">
        <v>5</v>
      </c>
      <c r="C41" s="1461"/>
      <c r="D41" s="1462"/>
      <c r="E41" s="1463"/>
      <c r="F41" s="1463"/>
      <c r="G41" s="1463"/>
      <c r="H41" s="1464"/>
      <c r="I41" s="1463"/>
      <c r="J41" s="1463"/>
      <c r="K41" s="1465"/>
      <c r="L41" s="1463"/>
      <c r="M41" s="1463"/>
      <c r="N41" s="1463"/>
      <c r="O41" s="1463"/>
      <c r="P41" s="1466" t="str">
        <f>IF(AND(D41="",E41="",F41="",G41=""),"",AVERAGE(D41:G41))</f>
        <v/>
      </c>
      <c r="Q41" s="1468"/>
      <c r="R41" s="1467" t="str">
        <f>IF(AND(H41="",I41="",J41="",K41=""),"",AVERAGE(H41:K41))</f>
        <v/>
      </c>
      <c r="S41" s="1468"/>
      <c r="T41" s="1467" t="str">
        <f>IF(AND(L41="",M41="",N41="",O41=""),"",AVERAGE(L41:O41))</f>
        <v/>
      </c>
      <c r="U41" s="1469"/>
    </row>
    <row r="42" spans="1:22" s="1401" customFormat="1" ht="24.75" customHeight="1">
      <c r="B42" s="1240"/>
      <c r="C42" s="1240"/>
    </row>
    <row r="43" spans="1:22" ht="24.75" customHeight="1" thickBot="1">
      <c r="A43" s="1401"/>
      <c r="B43" s="1914" t="s">
        <v>419</v>
      </c>
      <c r="C43" s="1914"/>
      <c r="D43" s="1914"/>
      <c r="E43" s="1914"/>
      <c r="F43" s="1914"/>
      <c r="G43" s="1914"/>
      <c r="H43" s="1242">
        <f>H2</f>
        <v>2026</v>
      </c>
      <c r="I43" s="1242" t="s">
        <v>420</v>
      </c>
      <c r="J43" s="1242">
        <v>4</v>
      </c>
      <c r="K43" s="1242" t="s">
        <v>421</v>
      </c>
      <c r="L43" s="1241"/>
      <c r="M43" s="1241"/>
      <c r="N43" s="1241"/>
      <c r="O43" s="1401"/>
      <c r="P43" s="1401"/>
      <c r="Q43" s="1401"/>
      <c r="R43" s="1401"/>
      <c r="S43" s="1401"/>
      <c r="T43" s="1401"/>
      <c r="U43" s="1401"/>
    </row>
    <row r="44" spans="1:22" ht="24.75" customHeight="1">
      <c r="A44" s="1401"/>
      <c r="B44" s="1915"/>
      <c r="C44" s="1918" t="s">
        <v>422</v>
      </c>
      <c r="D44" s="1921" t="s">
        <v>423</v>
      </c>
      <c r="E44" s="1922"/>
      <c r="F44" s="1922"/>
      <c r="G44" s="1923"/>
      <c r="H44" s="1924" t="s">
        <v>424</v>
      </c>
      <c r="I44" s="1922"/>
      <c r="J44" s="1922"/>
      <c r="K44" s="1923"/>
      <c r="L44" s="1924" t="s">
        <v>440</v>
      </c>
      <c r="M44" s="1922"/>
      <c r="N44" s="1922"/>
      <c r="O44" s="1922"/>
      <c r="P44" s="1924" t="s">
        <v>426</v>
      </c>
      <c r="Q44" s="1923"/>
      <c r="R44" s="1922" t="s">
        <v>424</v>
      </c>
      <c r="S44" s="1923"/>
      <c r="T44" s="1922" t="s">
        <v>425</v>
      </c>
      <c r="U44" s="1927"/>
    </row>
    <row r="45" spans="1:22" ht="24.75" customHeight="1">
      <c r="A45" s="1401"/>
      <c r="B45" s="1916"/>
      <c r="C45" s="1919"/>
      <c r="D45" s="1239" t="s">
        <v>429</v>
      </c>
      <c r="E45" s="1238" t="s">
        <v>430</v>
      </c>
      <c r="F45" s="1238" t="s">
        <v>431</v>
      </c>
      <c r="G45" s="1237" t="s">
        <v>432</v>
      </c>
      <c r="H45" s="1236" t="s">
        <v>429</v>
      </c>
      <c r="I45" s="1238" t="s">
        <v>430</v>
      </c>
      <c r="J45" s="1238" t="s">
        <v>431</v>
      </c>
      <c r="K45" s="1237" t="s">
        <v>432</v>
      </c>
      <c r="L45" s="1235" t="s">
        <v>429</v>
      </c>
      <c r="M45" s="1238" t="s">
        <v>430</v>
      </c>
      <c r="N45" s="1238" t="s">
        <v>431</v>
      </c>
      <c r="O45" s="1234" t="s">
        <v>432</v>
      </c>
      <c r="P45" s="1928" t="s">
        <v>433</v>
      </c>
      <c r="Q45" s="1930" t="s">
        <v>434</v>
      </c>
      <c r="R45" s="1932" t="s">
        <v>435</v>
      </c>
      <c r="S45" s="1930" t="s">
        <v>434</v>
      </c>
      <c r="T45" s="1932" t="s">
        <v>435</v>
      </c>
      <c r="U45" s="1925" t="s">
        <v>441</v>
      </c>
    </row>
    <row r="46" spans="1:22" ht="24.75" customHeight="1" thickBot="1">
      <c r="A46" s="1401"/>
      <c r="B46" s="1917"/>
      <c r="C46" s="1920"/>
      <c r="D46" s="1233">
        <v>1</v>
      </c>
      <c r="E46" s="1232">
        <v>2</v>
      </c>
      <c r="F46" s="1232">
        <v>3</v>
      </c>
      <c r="G46" s="1231">
        <v>4</v>
      </c>
      <c r="H46" s="1230">
        <v>1</v>
      </c>
      <c r="I46" s="1232">
        <v>2</v>
      </c>
      <c r="J46" s="1232">
        <v>3</v>
      </c>
      <c r="K46" s="1231">
        <v>4</v>
      </c>
      <c r="L46" s="1229">
        <v>1</v>
      </c>
      <c r="M46" s="1232">
        <v>2</v>
      </c>
      <c r="N46" s="1232">
        <v>3</v>
      </c>
      <c r="O46" s="1232">
        <v>4</v>
      </c>
      <c r="P46" s="1929"/>
      <c r="Q46" s="1931"/>
      <c r="R46" s="1933"/>
      <c r="S46" s="1931"/>
      <c r="T46" s="1933"/>
      <c r="U46" s="1926"/>
    </row>
    <row r="47" spans="1:22" ht="25.5" customHeight="1">
      <c r="A47" s="1401"/>
      <c r="B47" s="1403">
        <v>1</v>
      </c>
      <c r="C47" s="1404"/>
      <c r="D47" s="1799"/>
      <c r="E47" s="1800"/>
      <c r="F47" s="1800"/>
      <c r="G47" s="1800"/>
      <c r="H47" s="1801"/>
      <c r="I47" s="1800"/>
      <c r="J47" s="1800"/>
      <c r="K47" s="1802"/>
      <c r="L47" s="1800"/>
      <c r="M47" s="1800"/>
      <c r="N47" s="1800"/>
      <c r="O47" s="1802"/>
      <c r="P47" s="1409" t="str">
        <f>IF(AND(D47="",E47="",F47="",G47=""),"",AVERAGE(D47:G47))</f>
        <v/>
      </c>
      <c r="Q47" s="1411" t="s">
        <v>437</v>
      </c>
      <c r="R47" s="1412" t="str">
        <f>IF(AND(H47="",I47="",J47="",K47=""),"",AVERAGE(H47:K47))</f>
        <v/>
      </c>
      <c r="S47" s="1411" t="s">
        <v>438</v>
      </c>
      <c r="T47" s="1412" t="str">
        <f>IF(AND(L47="",M47="",N47="",O47=""),"",AVERAGE(L47:O47))</f>
        <v/>
      </c>
      <c r="U47" s="1413" t="s">
        <v>437</v>
      </c>
    </row>
    <row r="48" spans="1:22" ht="25.5" customHeight="1">
      <c r="A48" s="1401"/>
      <c r="B48" s="1414">
        <v>2</v>
      </c>
      <c r="C48" s="1415"/>
      <c r="D48" s="1803"/>
      <c r="E48" s="1804"/>
      <c r="F48" s="1804"/>
      <c r="G48" s="1804"/>
      <c r="H48" s="1805"/>
      <c r="I48" s="1804"/>
      <c r="J48" s="1804"/>
      <c r="K48" s="1806"/>
      <c r="L48" s="1804"/>
      <c r="M48" s="1804"/>
      <c r="N48" s="1804"/>
      <c r="O48" s="1806"/>
      <c r="P48" s="1420" t="str">
        <f>IF(AND(D48="",E48="",F48="",G48=""),"",AVERAGE(D48:G48))</f>
        <v/>
      </c>
      <c r="Q48" s="1421"/>
      <c r="R48" s="1410" t="str">
        <f>IF(AND(H48="",I48="",J48="",K48=""),"",AVERAGE(H48:K48))</f>
        <v/>
      </c>
      <c r="S48" s="1421"/>
      <c r="T48" s="1410" t="str">
        <f>IF(AND(L48="",M48="",N48="",O48=""),"",AVERAGE(L48:O48))</f>
        <v/>
      </c>
      <c r="U48" s="1422"/>
    </row>
    <row r="49" spans="1:21" ht="25.5" customHeight="1">
      <c r="A49" s="1401"/>
      <c r="B49" s="1414">
        <v>3</v>
      </c>
      <c r="C49" s="1415"/>
      <c r="D49" s="1803"/>
      <c r="E49" s="1804"/>
      <c r="F49" s="1804"/>
      <c r="G49" s="1804"/>
      <c r="H49" s="1805"/>
      <c r="I49" s="1804"/>
      <c r="J49" s="1804"/>
      <c r="K49" s="1806"/>
      <c r="L49" s="1804"/>
      <c r="M49" s="1804"/>
      <c r="N49" s="1804"/>
      <c r="O49" s="1806"/>
      <c r="P49" s="1423" t="str">
        <f t="shared" ref="P49:P50" si="18">IF(AND(D49="",E49="",F49="",G49=""),"",AVERAGE(D49:G49))</f>
        <v/>
      </c>
      <c r="Q49" s="1424"/>
      <c r="R49" s="1425" t="str">
        <f t="shared" ref="R49:R50" si="19">IF(AND(H49="",I49="",J49="",K49=""),"",AVERAGE(H49:K49))</f>
        <v/>
      </c>
      <c r="S49" s="1424"/>
      <c r="T49" s="1425" t="str">
        <f>IF(AND(L49="",M49="",N49="",O49=""),"",AVERAGE(L49:O49))</f>
        <v/>
      </c>
      <c r="U49" s="1426"/>
    </row>
    <row r="50" spans="1:21" ht="25.5" customHeight="1">
      <c r="A50" s="1401"/>
      <c r="B50" s="1414">
        <v>4</v>
      </c>
      <c r="C50" s="1415"/>
      <c r="D50" s="1803"/>
      <c r="E50" s="1804"/>
      <c r="F50" s="1804"/>
      <c r="G50" s="1804"/>
      <c r="H50" s="1805"/>
      <c r="I50" s="1804"/>
      <c r="J50" s="1804"/>
      <c r="K50" s="1806"/>
      <c r="L50" s="1804"/>
      <c r="M50" s="1804"/>
      <c r="N50" s="1804"/>
      <c r="O50" s="1806"/>
      <c r="P50" s="1427" t="str">
        <f t="shared" si="18"/>
        <v/>
      </c>
      <c r="Q50" s="1424"/>
      <c r="R50" s="1428" t="str">
        <f t="shared" si="19"/>
        <v/>
      </c>
      <c r="S50" s="1424"/>
      <c r="T50" s="1428" t="str">
        <f t="shared" ref="T50" si="20">IF(AND(L50="",M50="",N50="",O50=""),"",AVERAGE(L50:O50))</f>
        <v/>
      </c>
      <c r="U50" s="1426"/>
    </row>
    <row r="51" spans="1:21" ht="25.5" customHeight="1" thickBot="1">
      <c r="A51" s="1401"/>
      <c r="B51" s="1429">
        <v>5</v>
      </c>
      <c r="C51" s="1430"/>
      <c r="D51" s="1807"/>
      <c r="E51" s="1808"/>
      <c r="F51" s="1808"/>
      <c r="G51" s="1808"/>
      <c r="H51" s="1809"/>
      <c r="I51" s="1808"/>
      <c r="J51" s="1808"/>
      <c r="K51" s="1810"/>
      <c r="L51" s="1808"/>
      <c r="M51" s="1808"/>
      <c r="N51" s="1808"/>
      <c r="O51" s="1810"/>
      <c r="P51" s="1435" t="str">
        <f>IF(AND(D51="",E51="",F51="",G51=""),"",AVERAGE(D51:G51))</f>
        <v/>
      </c>
      <c r="Q51" s="1436"/>
      <c r="R51" s="1437" t="str">
        <f>IF(AND(H51="",I51="",J51="",K51=""),"",AVERAGE(H51:K51))</f>
        <v/>
      </c>
      <c r="S51" s="1436"/>
      <c r="T51" s="1437" t="str">
        <f>IF(AND(L51="",M51="",N51="",O51=""),"",AVERAGE(L51:O51))</f>
        <v/>
      </c>
      <c r="U51" s="1438"/>
    </row>
    <row r="52" spans="1:21" ht="25.5" customHeight="1" thickTop="1">
      <c r="A52" s="1401"/>
      <c r="B52" s="1439">
        <v>6</v>
      </c>
      <c r="C52" s="1440"/>
      <c r="D52" s="1441">
        <v>1</v>
      </c>
      <c r="E52" s="1442">
        <v>0</v>
      </c>
      <c r="F52" s="1442">
        <v>0</v>
      </c>
      <c r="G52" s="1442">
        <v>4</v>
      </c>
      <c r="H52" s="1443">
        <v>14</v>
      </c>
      <c r="I52" s="1442">
        <v>6</v>
      </c>
      <c r="J52" s="1442">
        <v>31</v>
      </c>
      <c r="K52" s="1444">
        <v>15</v>
      </c>
      <c r="L52" s="1442">
        <v>0</v>
      </c>
      <c r="M52" s="1442">
        <v>0</v>
      </c>
      <c r="N52" s="1442">
        <v>0</v>
      </c>
      <c r="O52" s="1442">
        <v>0</v>
      </c>
      <c r="P52" s="1445">
        <f>IF(AND(D52="",E52="",F52="",G52=""),"",AVERAGE(D52:G52))</f>
        <v>1.25</v>
      </c>
      <c r="Q52" s="1446">
        <f>P52</f>
        <v>1.25</v>
      </c>
      <c r="R52" s="1447">
        <f>IF(AND(H52="",I52="",J52="",K52=""),"",AVERAGE(H52:K52))</f>
        <v>16.5</v>
      </c>
      <c r="S52" s="1448">
        <f>R52</f>
        <v>16.5</v>
      </c>
      <c r="T52" s="1412">
        <f>IF(AND(L52="",M52="",N52="",O52=""),"",AVERAGE(L52:O52))</f>
        <v>0</v>
      </c>
      <c r="U52" s="1449">
        <f>T52</f>
        <v>0</v>
      </c>
    </row>
    <row r="53" spans="1:21" ht="25.5" customHeight="1">
      <c r="A53" s="1401"/>
      <c r="B53" s="1414">
        <v>7</v>
      </c>
      <c r="C53" s="1415" t="s">
        <v>294</v>
      </c>
      <c r="D53" s="1416"/>
      <c r="E53" s="1417"/>
      <c r="F53" s="1417"/>
      <c r="G53" s="1417"/>
      <c r="H53" s="1418"/>
      <c r="I53" s="1417"/>
      <c r="J53" s="1417"/>
      <c r="K53" s="1419"/>
      <c r="L53" s="1417"/>
      <c r="M53" s="1417"/>
      <c r="N53" s="1417"/>
      <c r="O53" s="1417"/>
      <c r="P53" s="1420" t="str">
        <f>IF(AND(D53="",E53="",F53="",G53=""),"",AVERAGE(D53:G53))</f>
        <v/>
      </c>
      <c r="Q53" s="1421"/>
      <c r="R53" s="1410" t="str">
        <f>IF(AND(H53="",I53="",J53="",K53=""),"",AVERAGE(H53:K53))</f>
        <v/>
      </c>
      <c r="S53" s="1421"/>
      <c r="T53" s="1410" t="str">
        <f>IF(AND(L53="",M53="",N53="",O53=""),"",AVERAGE(L53:O53))</f>
        <v/>
      </c>
      <c r="U53" s="1422"/>
    </row>
    <row r="54" spans="1:21" ht="25.5" customHeight="1">
      <c r="A54" s="1401"/>
      <c r="B54" s="1414">
        <v>8</v>
      </c>
      <c r="C54" s="1415"/>
      <c r="D54" s="1416"/>
      <c r="E54" s="1417"/>
      <c r="F54" s="1417"/>
      <c r="G54" s="1417"/>
      <c r="H54" s="1418"/>
      <c r="I54" s="1417"/>
      <c r="J54" s="1417"/>
      <c r="K54" s="1419"/>
      <c r="L54" s="1417"/>
      <c r="M54" s="1417"/>
      <c r="N54" s="1417"/>
      <c r="O54" s="1417"/>
      <c r="P54" s="1423" t="str">
        <f t="shared" ref="P54:P55" si="21">IF(AND(D54="",E54="",F54="",G54=""),"",AVERAGE(D54:G54))</f>
        <v/>
      </c>
      <c r="Q54" s="1424"/>
      <c r="R54" s="1425" t="str">
        <f t="shared" ref="R54:R55" si="22">IF(AND(H54="",I54="",J54="",K54=""),"",AVERAGE(H54:K54))</f>
        <v/>
      </c>
      <c r="S54" s="1424"/>
      <c r="T54" s="1425" t="str">
        <f>IF(AND(L54="",M54="",N54="",O54=""),"",AVERAGE(L54:O54))</f>
        <v/>
      </c>
      <c r="U54" s="1426"/>
    </row>
    <row r="55" spans="1:21" ht="25.5" customHeight="1">
      <c r="A55" s="1401"/>
      <c r="B55" s="1414">
        <v>9</v>
      </c>
      <c r="C55" s="1415"/>
      <c r="D55" s="1416"/>
      <c r="E55" s="1417"/>
      <c r="F55" s="1417"/>
      <c r="G55" s="1417"/>
      <c r="H55" s="1418"/>
      <c r="I55" s="1417"/>
      <c r="J55" s="1417"/>
      <c r="K55" s="1419"/>
      <c r="L55" s="1417"/>
      <c r="M55" s="1417"/>
      <c r="N55" s="1417"/>
      <c r="O55" s="1450"/>
      <c r="P55" s="1427" t="str">
        <f t="shared" si="21"/>
        <v/>
      </c>
      <c r="Q55" s="1424"/>
      <c r="R55" s="1428" t="str">
        <f t="shared" si="22"/>
        <v/>
      </c>
      <c r="S55" s="1424"/>
      <c r="T55" s="1428" t="str">
        <f t="shared" ref="T55" si="23">IF(AND(L55="",M55="",N55="",O55=""),"",AVERAGE(L55:O55))</f>
        <v/>
      </c>
      <c r="U55" s="1426"/>
    </row>
    <row r="56" spans="1:21" ht="25.5" customHeight="1" thickBot="1">
      <c r="A56" s="1401"/>
      <c r="B56" s="1451">
        <v>10</v>
      </c>
      <c r="C56" s="1452"/>
      <c r="D56" s="1453"/>
      <c r="E56" s="1454"/>
      <c r="F56" s="1454"/>
      <c r="G56" s="1454"/>
      <c r="H56" s="1455"/>
      <c r="I56" s="1454"/>
      <c r="J56" s="1454"/>
      <c r="K56" s="1456"/>
      <c r="L56" s="1454"/>
      <c r="M56" s="1454"/>
      <c r="N56" s="1454"/>
      <c r="O56" s="1454"/>
      <c r="P56" s="1435" t="str">
        <f>IF(AND(D56="",E56="",F56="",G56=""),"",AVERAGE(D56:G56))</f>
        <v/>
      </c>
      <c r="Q56" s="1436"/>
      <c r="R56" s="1437" t="str">
        <f>IF(AND(H56="",I56="",J56="",K56=""),"",AVERAGE(H56:K56))</f>
        <v/>
      </c>
      <c r="S56" s="1436"/>
      <c r="T56" s="1437" t="str">
        <f>IF(AND(L56="",M56="",N56="",O56=""),"",AVERAGE(L56:O56))</f>
        <v/>
      </c>
      <c r="U56" s="1438"/>
    </row>
    <row r="57" spans="1:21" ht="25.5" customHeight="1" thickTop="1">
      <c r="A57" s="1401"/>
      <c r="B57" s="1403">
        <v>11</v>
      </c>
      <c r="C57" s="1404" t="s">
        <v>295</v>
      </c>
      <c r="D57" s="1405"/>
      <c r="E57" s="1406"/>
      <c r="F57" s="1406"/>
      <c r="G57" s="1406"/>
      <c r="H57" s="1407"/>
      <c r="I57" s="1406"/>
      <c r="J57" s="1406"/>
      <c r="K57" s="1408"/>
      <c r="L57" s="1406"/>
      <c r="M57" s="1406"/>
      <c r="N57" s="1406"/>
      <c r="O57" s="1406"/>
      <c r="P57" s="1445" t="str">
        <f>IF(AND(D57="",E57="",F57="",G57=""),"",AVERAGE(D57:G57))</f>
        <v/>
      </c>
      <c r="Q57" s="1814">
        <f>P59*5/7</f>
        <v>1.9642857142857142</v>
      </c>
      <c r="R57" s="1447" t="str">
        <f>IF(AND(H57="",I57="",J57="",K57=""),"",AVERAGE(H57:K57))</f>
        <v/>
      </c>
      <c r="S57" s="1815">
        <f>R59*5/7</f>
        <v>8.0357142857142865</v>
      </c>
      <c r="T57" s="1412" t="str">
        <f>IF(AND(L57="",M57="",N57="",O57=""),"",AVERAGE(L57:O57))</f>
        <v/>
      </c>
      <c r="U57" s="1817">
        <f>T59*5/7</f>
        <v>0.7142857142857143</v>
      </c>
    </row>
    <row r="58" spans="1:21" ht="25.5" customHeight="1">
      <c r="A58" s="1401"/>
      <c r="B58" s="1414">
        <v>12</v>
      </c>
      <c r="C58" s="1415"/>
      <c r="D58" s="1416"/>
      <c r="E58" s="1417"/>
      <c r="F58" s="1417"/>
      <c r="G58" s="1417"/>
      <c r="H58" s="1418"/>
      <c r="I58" s="1417"/>
      <c r="J58" s="1417"/>
      <c r="K58" s="1419"/>
      <c r="L58" s="1417"/>
      <c r="M58" s="1417"/>
      <c r="N58" s="1417"/>
      <c r="O58" s="1417"/>
      <c r="P58" s="1420" t="str">
        <f>IF(AND(D58="",E58="",F58="",G58=""),"",AVERAGE(D58:G58))</f>
        <v/>
      </c>
      <c r="Q58" s="1421"/>
      <c r="R58" s="1410" t="str">
        <f>IF(AND(H58="",I58="",J58="",K58=""),"",AVERAGE(H58:K58))</f>
        <v/>
      </c>
      <c r="S58" s="1421"/>
      <c r="T58" s="1410" t="str">
        <f>IF(AND(L58="",M58="",N58="",O58=""),"",AVERAGE(L58:O58))</f>
        <v/>
      </c>
      <c r="U58" s="1422"/>
    </row>
    <row r="59" spans="1:21" ht="25.5" customHeight="1">
      <c r="A59" s="1401"/>
      <c r="B59" s="1414">
        <v>13</v>
      </c>
      <c r="C59" s="1415"/>
      <c r="D59" s="1416">
        <v>4</v>
      </c>
      <c r="E59" s="1417">
        <v>3</v>
      </c>
      <c r="F59" s="1417">
        <v>4</v>
      </c>
      <c r="G59" s="1417">
        <v>0</v>
      </c>
      <c r="H59" s="1418">
        <v>13</v>
      </c>
      <c r="I59" s="1417">
        <v>3</v>
      </c>
      <c r="J59" s="1417">
        <v>14</v>
      </c>
      <c r="K59" s="1419">
        <v>15</v>
      </c>
      <c r="L59" s="1417">
        <v>1</v>
      </c>
      <c r="M59" s="1417">
        <v>0</v>
      </c>
      <c r="N59" s="1417">
        <v>1</v>
      </c>
      <c r="O59" s="1417">
        <v>2</v>
      </c>
      <c r="P59" s="1423">
        <f t="shared" ref="P59:P60" si="24">IF(AND(D59="",E59="",F59="",G59=""),"",AVERAGE(D59:G59))</f>
        <v>2.75</v>
      </c>
      <c r="Q59" s="1424"/>
      <c r="R59" s="1425">
        <f t="shared" ref="R59:R60" si="25">IF(AND(H59="",I59="",J59="",K59=""),"",AVERAGE(H59:K59))</f>
        <v>11.25</v>
      </c>
      <c r="S59" s="1424"/>
      <c r="T59" s="1425">
        <f>IF(AND(L59="",M59="",N59="",O59=""),"",AVERAGE(L59:O59))</f>
        <v>1</v>
      </c>
      <c r="U59" s="1426"/>
    </row>
    <row r="60" spans="1:21" ht="25.5" customHeight="1">
      <c r="A60" s="1401"/>
      <c r="B60" s="1414">
        <v>14</v>
      </c>
      <c r="C60" s="1415"/>
      <c r="D60" s="1416"/>
      <c r="E60" s="1417"/>
      <c r="F60" s="1417"/>
      <c r="G60" s="1417"/>
      <c r="H60" s="1418"/>
      <c r="I60" s="1417"/>
      <c r="J60" s="1417"/>
      <c r="K60" s="1419"/>
      <c r="L60" s="1417"/>
      <c r="M60" s="1417"/>
      <c r="N60" s="1417"/>
      <c r="O60" s="1417"/>
      <c r="P60" s="1427" t="str">
        <f t="shared" si="24"/>
        <v/>
      </c>
      <c r="Q60" s="1424"/>
      <c r="R60" s="1428" t="str">
        <f t="shared" si="25"/>
        <v/>
      </c>
      <c r="S60" s="1424"/>
      <c r="T60" s="1428" t="str">
        <f t="shared" ref="T60" si="26">IF(AND(L60="",M60="",N60="",O60=""),"",AVERAGE(L60:O60))</f>
        <v/>
      </c>
      <c r="U60" s="1426"/>
    </row>
    <row r="61" spans="1:21" ht="25.5" customHeight="1" thickBot="1">
      <c r="A61" s="1401"/>
      <c r="B61" s="1429">
        <v>15</v>
      </c>
      <c r="C61" s="1430"/>
      <c r="D61" s="1431"/>
      <c r="E61" s="1432"/>
      <c r="F61" s="1432"/>
      <c r="G61" s="1432"/>
      <c r="H61" s="1433"/>
      <c r="I61" s="1432"/>
      <c r="J61" s="1432"/>
      <c r="K61" s="1434"/>
      <c r="L61" s="1432"/>
      <c r="M61" s="1432"/>
      <c r="N61" s="1432"/>
      <c r="O61" s="1432"/>
      <c r="P61" s="1435" t="str">
        <f>IF(AND(D61="",E61="",F61="",G61=""),"",AVERAGE(D61:G61))</f>
        <v/>
      </c>
      <c r="Q61" s="1436"/>
      <c r="R61" s="1437" t="str">
        <f>IF(AND(H61="",I61="",J61="",K61=""),"",AVERAGE(H61:K61))</f>
        <v/>
      </c>
      <c r="S61" s="1436"/>
      <c r="T61" s="1437" t="str">
        <f>IF(AND(L61="",M61="",N61="",O61=""),"",AVERAGE(L61:O61))</f>
        <v/>
      </c>
      <c r="U61" s="1438"/>
    </row>
    <row r="62" spans="1:21" ht="25.5" customHeight="1" thickTop="1">
      <c r="A62" s="1401"/>
      <c r="B62" s="1439">
        <v>16</v>
      </c>
      <c r="C62" s="1440" t="s">
        <v>296</v>
      </c>
      <c r="D62" s="1441">
        <v>1</v>
      </c>
      <c r="E62" s="1442">
        <v>0</v>
      </c>
      <c r="F62" s="1442">
        <v>2</v>
      </c>
      <c r="G62" s="1442">
        <v>2</v>
      </c>
      <c r="H62" s="1443">
        <v>2</v>
      </c>
      <c r="I62" s="1442">
        <v>2</v>
      </c>
      <c r="J62" s="1442">
        <v>0</v>
      </c>
      <c r="K62" s="1444">
        <v>3</v>
      </c>
      <c r="L62" s="1442">
        <v>1</v>
      </c>
      <c r="M62" s="1442">
        <v>2</v>
      </c>
      <c r="N62" s="1442">
        <v>0</v>
      </c>
      <c r="O62" s="1442">
        <v>0</v>
      </c>
      <c r="P62" s="1445">
        <f>IF(AND(D62="",E62="",F62="",G62=""),"",AVERAGE(D62:G62))</f>
        <v>1.25</v>
      </c>
      <c r="Q62" s="1814">
        <f>P62*5/3</f>
        <v>2.0833333333333335</v>
      </c>
      <c r="R62" s="1447">
        <f>IF(AND(H62="",I62="",J62="",K62=""),"",AVERAGE(H62:K62))</f>
        <v>1.75</v>
      </c>
      <c r="S62" s="1815">
        <f>R62*5/3</f>
        <v>2.9166666666666665</v>
      </c>
      <c r="T62" s="1412">
        <f>IF(AND(L62="",M62="",N62="",O62=""),"",AVERAGE(L62:O62))</f>
        <v>0.75</v>
      </c>
      <c r="U62" s="1449">
        <f>T62*5/3</f>
        <v>1.25</v>
      </c>
    </row>
    <row r="63" spans="1:21" ht="25.5" customHeight="1">
      <c r="A63" s="1401"/>
      <c r="B63" s="1414">
        <v>17</v>
      </c>
      <c r="C63" s="1415"/>
      <c r="D63" s="1416"/>
      <c r="E63" s="1417"/>
      <c r="F63" s="1417"/>
      <c r="G63" s="1417"/>
      <c r="H63" s="1418"/>
      <c r="I63" s="1417"/>
      <c r="J63" s="1417"/>
      <c r="K63" s="1419"/>
      <c r="L63" s="1417"/>
      <c r="M63" s="1417"/>
      <c r="N63" s="1417"/>
      <c r="O63" s="1417"/>
      <c r="P63" s="1420" t="str">
        <f>IF(AND(D63="",E63="",F63="",G63=""),"",AVERAGE(D63:G63))</f>
        <v/>
      </c>
      <c r="Q63" s="1421"/>
      <c r="R63" s="1410" t="str">
        <f>IF(AND(H63="",I63="",J63="",K63=""),"",AVERAGE(H63:K63))</f>
        <v/>
      </c>
      <c r="S63" s="1421"/>
      <c r="T63" s="1410" t="str">
        <f>IF(AND(L63="",M63="",N63="",O63=""),"",AVERAGE(L63:O63))</f>
        <v/>
      </c>
      <c r="U63" s="1422"/>
    </row>
    <row r="64" spans="1:21" ht="25.5" customHeight="1">
      <c r="A64" s="1401"/>
      <c r="B64" s="1414">
        <v>18</v>
      </c>
      <c r="C64" s="1415"/>
      <c r="D64" s="1416"/>
      <c r="E64" s="1417"/>
      <c r="F64" s="1417"/>
      <c r="G64" s="1417"/>
      <c r="H64" s="1418"/>
      <c r="I64" s="1417"/>
      <c r="J64" s="1417"/>
      <c r="K64" s="1419"/>
      <c r="L64" s="1417"/>
      <c r="M64" s="1417"/>
      <c r="N64" s="1417"/>
      <c r="O64" s="1417"/>
      <c r="P64" s="1423" t="str">
        <f t="shared" ref="P64:P65" si="27">IF(AND(D64="",E64="",F64="",G64=""),"",AVERAGE(D64:G64))</f>
        <v/>
      </c>
      <c r="Q64" s="1424"/>
      <c r="R64" s="1425" t="str">
        <f t="shared" ref="R64:R65" si="28">IF(AND(H64="",I64="",J64="",K64=""),"",AVERAGE(H64:K64))</f>
        <v/>
      </c>
      <c r="S64" s="1424"/>
      <c r="T64" s="1425" t="str">
        <f>IF(AND(L64="",M64="",N64="",O64=""),"",AVERAGE(L64:O64))</f>
        <v/>
      </c>
      <c r="U64" s="1426"/>
    </row>
    <row r="65" spans="1:21" ht="25.5" customHeight="1">
      <c r="A65" s="1401"/>
      <c r="B65" s="1414">
        <v>19</v>
      </c>
      <c r="C65" s="1415"/>
      <c r="D65" s="1416"/>
      <c r="E65" s="1417"/>
      <c r="F65" s="1417"/>
      <c r="G65" s="1417"/>
      <c r="H65" s="1418"/>
      <c r="I65" s="1417"/>
      <c r="J65" s="1417"/>
      <c r="K65" s="1419"/>
      <c r="L65" s="1417"/>
      <c r="M65" s="1417"/>
      <c r="N65" s="1417"/>
      <c r="O65" s="1417"/>
      <c r="P65" s="1427" t="str">
        <f t="shared" si="27"/>
        <v/>
      </c>
      <c r="Q65" s="1424"/>
      <c r="R65" s="1428" t="str">
        <f t="shared" si="28"/>
        <v/>
      </c>
      <c r="S65" s="1424"/>
      <c r="T65" s="1428" t="str">
        <f t="shared" ref="T65" si="29">IF(AND(L65="",M65="",N65="",O65=""),"",AVERAGE(L65:O65))</f>
        <v/>
      </c>
      <c r="U65" s="1426"/>
    </row>
    <row r="66" spans="1:21" ht="25.5" customHeight="1" thickBot="1">
      <c r="A66" s="1401"/>
      <c r="B66" s="1451">
        <v>20</v>
      </c>
      <c r="C66" s="1452"/>
      <c r="D66" s="1453"/>
      <c r="E66" s="1454"/>
      <c r="F66" s="1454"/>
      <c r="G66" s="1454"/>
      <c r="H66" s="1455"/>
      <c r="I66" s="1454"/>
      <c r="J66" s="1454"/>
      <c r="K66" s="1456"/>
      <c r="L66" s="1454"/>
      <c r="M66" s="1454"/>
      <c r="N66" s="1454"/>
      <c r="O66" s="1454"/>
      <c r="P66" s="1435" t="str">
        <f>IF(AND(D66="",E66="",F66="",G66=""),"",AVERAGE(D66:G66))</f>
        <v/>
      </c>
      <c r="Q66" s="1436"/>
      <c r="R66" s="1437" t="str">
        <f>IF(AND(H66="",I66="",J66="",K66=""),"",AVERAGE(H66:K66))</f>
        <v/>
      </c>
      <c r="S66" s="1436"/>
      <c r="T66" s="1437" t="str">
        <f>IF(AND(L66="",M66="",N66="",O66=""),"",AVERAGE(L66:O66))</f>
        <v/>
      </c>
      <c r="U66" s="1438"/>
    </row>
    <row r="67" spans="1:21" ht="25.5" customHeight="1" thickTop="1">
      <c r="A67" s="1401"/>
      <c r="B67" s="1403">
        <v>21</v>
      </c>
      <c r="C67" s="1404" t="s">
        <v>297</v>
      </c>
      <c r="D67" s="1405">
        <v>4</v>
      </c>
      <c r="E67" s="1406">
        <v>2</v>
      </c>
      <c r="F67" s="1406">
        <v>5</v>
      </c>
      <c r="G67" s="1406">
        <v>1</v>
      </c>
      <c r="H67" s="1407">
        <v>2</v>
      </c>
      <c r="I67" s="1406">
        <v>1</v>
      </c>
      <c r="J67" s="1406">
        <v>2</v>
      </c>
      <c r="K67" s="1408">
        <v>2</v>
      </c>
      <c r="L67" s="1406">
        <v>7</v>
      </c>
      <c r="M67" s="1406">
        <v>7</v>
      </c>
      <c r="N67" s="1406">
        <v>50</v>
      </c>
      <c r="O67" s="1406">
        <v>91</v>
      </c>
      <c r="P67" s="1445">
        <f>IF(AND(D67="",E67="",F67="",G67=""),"",AVERAGE(D67:G67))</f>
        <v>3</v>
      </c>
      <c r="Q67" s="1446">
        <f>P67</f>
        <v>3</v>
      </c>
      <c r="R67" s="1447">
        <f>IF(AND(H67="",I67="",J67="",K67=""),"",AVERAGE(H67:K67))</f>
        <v>1.75</v>
      </c>
      <c r="S67" s="1448">
        <f>R67</f>
        <v>1.75</v>
      </c>
      <c r="T67" s="1412">
        <f>IF(AND(L67="",M67="",N67="",O67=""),"",AVERAGE(L67:O67))</f>
        <v>38.75</v>
      </c>
      <c r="U67" s="1449">
        <f>T67</f>
        <v>38.75</v>
      </c>
    </row>
    <row r="68" spans="1:21" ht="25.5" customHeight="1">
      <c r="A68" s="1401"/>
      <c r="B68" s="1414">
        <v>22</v>
      </c>
      <c r="C68" s="1415"/>
      <c r="D68" s="1416"/>
      <c r="E68" s="1417"/>
      <c r="F68" s="1417"/>
      <c r="G68" s="1417"/>
      <c r="H68" s="1418"/>
      <c r="I68" s="1417"/>
      <c r="J68" s="1417"/>
      <c r="K68" s="1419"/>
      <c r="L68" s="1417"/>
      <c r="M68" s="1417"/>
      <c r="N68" s="1417"/>
      <c r="O68" s="1417"/>
      <c r="P68" s="1420" t="str">
        <f>IF(AND(D68="",E68="",F68="",G68=""),"",AVERAGE(D68:G68))</f>
        <v/>
      </c>
      <c r="Q68" s="1421"/>
      <c r="R68" s="1410" t="str">
        <f>IF(AND(H68="",I68="",J68="",K68=""),"",AVERAGE(H68:K68))</f>
        <v/>
      </c>
      <c r="S68" s="1421"/>
      <c r="T68" s="1410" t="str">
        <f>IF(AND(L68="",M68="",N68="",O68=""),"",AVERAGE(L68:O68))</f>
        <v/>
      </c>
      <c r="U68" s="1422"/>
    </row>
    <row r="69" spans="1:21" ht="25.5" customHeight="1">
      <c r="A69" s="1401"/>
      <c r="B69" s="1414">
        <v>23</v>
      </c>
      <c r="C69" s="1415"/>
      <c r="D69" s="1416"/>
      <c r="E69" s="1417"/>
      <c r="F69" s="1417"/>
      <c r="G69" s="1417"/>
      <c r="H69" s="1418"/>
      <c r="I69" s="1417"/>
      <c r="J69" s="1417"/>
      <c r="K69" s="1419"/>
      <c r="L69" s="1417"/>
      <c r="M69" s="1417"/>
      <c r="N69" s="1417"/>
      <c r="O69" s="1417"/>
      <c r="P69" s="1423" t="str">
        <f t="shared" ref="P69:P70" si="30">IF(AND(D69="",E69="",F69="",G69=""),"",AVERAGE(D69:G69))</f>
        <v/>
      </c>
      <c r="Q69" s="1424"/>
      <c r="R69" s="1425" t="str">
        <f t="shared" ref="R69:R70" si="31">IF(AND(H69="",I69="",J69="",K69=""),"",AVERAGE(H69:K69))</f>
        <v/>
      </c>
      <c r="S69" s="1424"/>
      <c r="T69" s="1425" t="str">
        <f>IF(AND(L69="",M69="",N69="",O69=""),"",AVERAGE(L69:O69))</f>
        <v/>
      </c>
      <c r="U69" s="1426"/>
    </row>
    <row r="70" spans="1:21" ht="25.5" customHeight="1">
      <c r="A70" s="1401"/>
      <c r="B70" s="1414">
        <v>24</v>
      </c>
      <c r="C70" s="1415"/>
      <c r="D70" s="1416"/>
      <c r="E70" s="1417"/>
      <c r="F70" s="1417"/>
      <c r="G70" s="1417"/>
      <c r="H70" s="1418"/>
      <c r="I70" s="1417"/>
      <c r="J70" s="1417"/>
      <c r="K70" s="1419"/>
      <c r="L70" s="1417"/>
      <c r="M70" s="1417"/>
      <c r="N70" s="1417"/>
      <c r="O70" s="1417"/>
      <c r="P70" s="1427" t="str">
        <f t="shared" si="30"/>
        <v/>
      </c>
      <c r="Q70" s="1424"/>
      <c r="R70" s="1428" t="str">
        <f t="shared" si="31"/>
        <v/>
      </c>
      <c r="S70" s="1424"/>
      <c r="T70" s="1428" t="str">
        <f t="shared" ref="T70" si="32">IF(AND(L70="",M70="",N70="",O70=""),"",AVERAGE(L70:O70))</f>
        <v/>
      </c>
      <c r="U70" s="1426"/>
    </row>
    <row r="71" spans="1:21" ht="25.5" customHeight="1" thickBot="1">
      <c r="A71" s="1401"/>
      <c r="B71" s="1429">
        <v>25</v>
      </c>
      <c r="C71" s="1430"/>
      <c r="D71" s="1431"/>
      <c r="E71" s="1432"/>
      <c r="F71" s="1432"/>
      <c r="G71" s="1432"/>
      <c r="H71" s="1433"/>
      <c r="I71" s="1432"/>
      <c r="J71" s="1432"/>
      <c r="K71" s="1434"/>
      <c r="L71" s="1432"/>
      <c r="M71" s="1432"/>
      <c r="N71" s="1432"/>
      <c r="O71" s="1432"/>
      <c r="P71" s="1435" t="str">
        <f>IF(AND(D71="",E71="",F71="",G71=""),"",AVERAGE(D71:G71))</f>
        <v/>
      </c>
      <c r="Q71" s="1436"/>
      <c r="R71" s="1437" t="str">
        <f>IF(AND(H71="",I71="",J71="",K71=""),"",AVERAGE(H71:K71))</f>
        <v/>
      </c>
      <c r="S71" s="1436"/>
      <c r="T71" s="1437" t="str">
        <f>IF(AND(L71="",M71="",N71="",O71=""),"",AVERAGE(L71:O71))</f>
        <v/>
      </c>
      <c r="U71" s="1438"/>
    </row>
    <row r="72" spans="1:21" ht="25.5" customHeight="1" thickTop="1">
      <c r="A72" s="1401"/>
      <c r="B72" s="1439">
        <v>26</v>
      </c>
      <c r="C72" s="1440"/>
      <c r="D72" s="1441"/>
      <c r="E72" s="1442"/>
      <c r="F72" s="1442"/>
      <c r="G72" s="1442"/>
      <c r="H72" s="1443"/>
      <c r="I72" s="1442"/>
      <c r="J72" s="1442"/>
      <c r="K72" s="1444"/>
      <c r="L72" s="1442"/>
      <c r="M72" s="1442"/>
      <c r="N72" s="1442"/>
      <c r="O72" s="1442"/>
      <c r="P72" s="1445" t="str">
        <f>IF(AND(D72="",E72="",F72="",G72=""),"",AVERAGE(D72:G72))</f>
        <v/>
      </c>
      <c r="Q72" s="1446">
        <f>P73*5/6</f>
        <v>1.875</v>
      </c>
      <c r="R72" s="1447" t="str">
        <f>IF(AND(H72="",I72="",J72="",K72=""),"",AVERAGE(H72:K72))</f>
        <v/>
      </c>
      <c r="S72" s="1815">
        <f>R73*5/6</f>
        <v>2.9166666666666665</v>
      </c>
      <c r="T72" s="1412" t="str">
        <f>IF(AND(L72="",M72="",N72="",O72=""),"",AVERAGE(L72:O72))</f>
        <v/>
      </c>
      <c r="U72" s="1817">
        <f>T73*5/6</f>
        <v>44.375</v>
      </c>
    </row>
    <row r="73" spans="1:21" ht="25.5" customHeight="1">
      <c r="A73" s="1401"/>
      <c r="B73" s="1414">
        <v>27</v>
      </c>
      <c r="C73" s="1415"/>
      <c r="D73" s="1416">
        <v>4</v>
      </c>
      <c r="E73" s="1417">
        <v>2</v>
      </c>
      <c r="F73" s="1417">
        <v>1</v>
      </c>
      <c r="G73" s="1417">
        <v>2</v>
      </c>
      <c r="H73" s="1418">
        <v>3</v>
      </c>
      <c r="I73" s="1417">
        <v>6</v>
      </c>
      <c r="J73" s="1417">
        <v>3</v>
      </c>
      <c r="K73" s="1419">
        <v>2</v>
      </c>
      <c r="L73" s="1417">
        <v>23</v>
      </c>
      <c r="M73" s="1417">
        <v>40</v>
      </c>
      <c r="N73" s="1417">
        <v>68</v>
      </c>
      <c r="O73" s="1417">
        <v>82</v>
      </c>
      <c r="P73" s="1420">
        <f>IF(AND(D73="",E73="",F73="",G73=""),"",AVERAGE(D73:G73))</f>
        <v>2.25</v>
      </c>
      <c r="Q73" s="1421"/>
      <c r="R73" s="1410">
        <f>IF(AND(H73="",I73="",J73="",K73=""),"",AVERAGE(H73:K73))</f>
        <v>3.5</v>
      </c>
      <c r="S73" s="1421"/>
      <c r="T73" s="1410">
        <f>IF(AND(L73="",M73="",N73="",O73=""),"",AVERAGE(L73:O73))</f>
        <v>53.25</v>
      </c>
      <c r="U73" s="1422"/>
    </row>
    <row r="74" spans="1:21" ht="25.5" customHeight="1">
      <c r="A74" s="1401"/>
      <c r="B74" s="1414">
        <v>28</v>
      </c>
      <c r="C74" s="1415" t="s">
        <v>298</v>
      </c>
      <c r="D74" s="1416"/>
      <c r="E74" s="1417"/>
      <c r="F74" s="1417"/>
      <c r="G74" s="1417"/>
      <c r="H74" s="1418"/>
      <c r="I74" s="1417"/>
      <c r="J74" s="1417"/>
      <c r="K74" s="1419"/>
      <c r="L74" s="1417"/>
      <c r="M74" s="1417"/>
      <c r="N74" s="1417"/>
      <c r="O74" s="1417"/>
      <c r="P74" s="1423" t="str">
        <f t="shared" ref="P74:P75" si="33">IF(AND(D74="",E74="",F74="",G74=""),"",AVERAGE(D74:G74))</f>
        <v/>
      </c>
      <c r="Q74" s="1424"/>
      <c r="R74" s="1425" t="str">
        <f t="shared" ref="R74:R75" si="34">IF(AND(H74="",I74="",J74="",K74=""),"",AVERAGE(H74:K74))</f>
        <v/>
      </c>
      <c r="S74" s="1424"/>
      <c r="T74" s="1425" t="str">
        <f>IF(AND(L74="",M74="",N74="",O74=""),"",AVERAGE(L74:O74))</f>
        <v/>
      </c>
      <c r="U74" s="1426"/>
    </row>
    <row r="75" spans="1:21" ht="25.5" customHeight="1">
      <c r="A75" s="1401"/>
      <c r="B75" s="1414">
        <v>29</v>
      </c>
      <c r="C75" s="1415"/>
      <c r="D75" s="1416"/>
      <c r="E75" s="1417"/>
      <c r="F75" s="1417"/>
      <c r="G75" s="1417"/>
      <c r="H75" s="1418"/>
      <c r="I75" s="1417"/>
      <c r="J75" s="1417"/>
      <c r="K75" s="1419"/>
      <c r="L75" s="1417"/>
      <c r="M75" s="1417"/>
      <c r="N75" s="1417"/>
      <c r="O75" s="1417"/>
      <c r="P75" s="1427" t="str">
        <f t="shared" si="33"/>
        <v/>
      </c>
      <c r="Q75" s="1424"/>
      <c r="R75" s="1428" t="str">
        <f t="shared" si="34"/>
        <v/>
      </c>
      <c r="S75" s="1424"/>
      <c r="T75" s="1428" t="str">
        <f t="shared" ref="T75" si="35">IF(AND(L75="",M75="",N75="",O75=""),"",AVERAGE(L75:O75))</f>
        <v/>
      </c>
      <c r="U75" s="1426"/>
    </row>
    <row r="76" spans="1:21" ht="25.5" customHeight="1">
      <c r="A76" s="1401"/>
      <c r="B76" s="1414">
        <v>30</v>
      </c>
      <c r="C76" s="1415"/>
      <c r="D76" s="1416"/>
      <c r="E76" s="1417"/>
      <c r="F76" s="1417"/>
      <c r="G76" s="1417"/>
      <c r="H76" s="1418"/>
      <c r="I76" s="1417"/>
      <c r="J76" s="1417"/>
      <c r="K76" s="1419"/>
      <c r="L76" s="1417"/>
      <c r="M76" s="1417"/>
      <c r="N76" s="1417"/>
      <c r="O76" s="1417"/>
      <c r="P76" s="1427" t="str">
        <f>IF(AND(D76="",E76="",F76="",G76=""),"",AVERAGE(D76:G76))</f>
        <v/>
      </c>
      <c r="Q76" s="1424"/>
      <c r="R76" s="1428" t="str">
        <f>IF(AND(H76="",I76="",J76="",K76=""),"",AVERAGE(H76:K76))</f>
        <v/>
      </c>
      <c r="S76" s="1424"/>
      <c r="T76" s="1428" t="str">
        <f>IF(AND(L76="",M76="",N76="",O76=""),"",AVERAGE(L76:O76))</f>
        <v/>
      </c>
      <c r="U76" s="1457"/>
    </row>
    <row r="77" spans="1:21" ht="25.5" customHeight="1" thickBot="1">
      <c r="A77" s="1401"/>
      <c r="B77" s="1451">
        <v>31</v>
      </c>
      <c r="C77" s="1452"/>
      <c r="D77" s="1453"/>
      <c r="E77" s="1454"/>
      <c r="F77" s="1454"/>
      <c r="G77" s="1454"/>
      <c r="H77" s="1455"/>
      <c r="I77" s="1454"/>
      <c r="J77" s="1454"/>
      <c r="K77" s="1456"/>
      <c r="L77" s="1454"/>
      <c r="M77" s="1454"/>
      <c r="N77" s="1454"/>
      <c r="O77" s="1454"/>
      <c r="P77" s="1427" t="str">
        <f>IF(AND(D77="",E77="",F77="",G77=""),"",AVERAGE(D77:G77))</f>
        <v/>
      </c>
      <c r="Q77" s="1458"/>
      <c r="R77" s="1435" t="str">
        <f>IF(AND(H77="",I77="",J77="",K77=""),"",AVERAGE(H77:K77))</f>
        <v/>
      </c>
      <c r="S77" s="1458"/>
      <c r="T77" s="1435" t="str">
        <f>IF(AND(L77="",M77="",N77="",O77=""),"",AVERAGE(L77:O77))</f>
        <v/>
      </c>
      <c r="U77" s="1731"/>
    </row>
    <row r="78" spans="1:21" ht="25.5" customHeight="1" thickTop="1">
      <c r="A78" s="1401"/>
      <c r="B78" s="1403">
        <v>1</v>
      </c>
      <c r="C78" s="1404"/>
      <c r="D78" s="1405">
        <v>0</v>
      </c>
      <c r="E78" s="1406">
        <v>3</v>
      </c>
      <c r="F78" s="1406">
        <v>3</v>
      </c>
      <c r="G78" s="1406">
        <v>3</v>
      </c>
      <c r="H78" s="1407">
        <v>7</v>
      </c>
      <c r="I78" s="1406">
        <v>15</v>
      </c>
      <c r="J78" s="1406">
        <v>4</v>
      </c>
      <c r="K78" s="1408">
        <v>5</v>
      </c>
      <c r="L78" s="1406">
        <v>17</v>
      </c>
      <c r="M78" s="1406">
        <v>61</v>
      </c>
      <c r="N78" s="1406">
        <v>72</v>
      </c>
      <c r="O78" s="1406">
        <v>27</v>
      </c>
      <c r="P78" s="1445">
        <f>IF(AND(D78="",E78="",F78="",G78=""),"",AVERAGE(D78:G78))</f>
        <v>2.25</v>
      </c>
      <c r="Q78" s="1725">
        <f>P78*5/4</f>
        <v>2.8125</v>
      </c>
      <c r="R78" s="1412">
        <f>IF(AND(H78="",I78="",J78="",K78=""),"",AVERAGE(H78:K78))</f>
        <v>7.75</v>
      </c>
      <c r="S78" s="1725">
        <f>R78*5/4</f>
        <v>9.6875</v>
      </c>
      <c r="T78" s="1412">
        <f>IF(AND(L78="",M78="",N78="",O78=""),"",AVERAGE(L78:O78))</f>
        <v>44.25</v>
      </c>
      <c r="U78" s="1729">
        <f>T78*5/4</f>
        <v>55.3125</v>
      </c>
    </row>
    <row r="79" spans="1:21" ht="25.5" customHeight="1">
      <c r="A79" s="1401"/>
      <c r="B79" s="1414">
        <v>2</v>
      </c>
      <c r="C79" s="1415"/>
      <c r="D79" s="1416"/>
      <c r="E79" s="1417"/>
      <c r="F79" s="1417"/>
      <c r="G79" s="1417"/>
      <c r="H79" s="1418"/>
      <c r="I79" s="1417"/>
      <c r="J79" s="1417"/>
      <c r="K79" s="1419"/>
      <c r="L79" s="1417"/>
      <c r="M79" s="1417"/>
      <c r="N79" s="1417"/>
      <c r="O79" s="1417"/>
      <c r="P79" s="1420" t="str">
        <f>IF(AND(D79="",E79="",F79="",G79=""),"",AVERAGE(D79:G79))</f>
        <v/>
      </c>
      <c r="Q79" s="1421"/>
      <c r="R79" s="1410" t="str">
        <f>IF(AND(H79="",I79="",J79="",K79=""),"",AVERAGE(H79:K79))</f>
        <v/>
      </c>
      <c r="S79" s="1421"/>
      <c r="T79" s="1410" t="str">
        <f>IF(AND(L79="",M79="",N79="",O79=""),"",AVERAGE(L79:O79))</f>
        <v/>
      </c>
      <c r="U79" s="1422"/>
    </row>
    <row r="80" spans="1:21" ht="25.5" customHeight="1">
      <c r="A80" s="1401"/>
      <c r="B80" s="1414">
        <v>3</v>
      </c>
      <c r="C80" s="1415"/>
      <c r="D80" s="1416"/>
      <c r="E80" s="1417"/>
      <c r="F80" s="1417"/>
      <c r="G80" s="1417"/>
      <c r="H80" s="1418"/>
      <c r="I80" s="1417"/>
      <c r="J80" s="1417"/>
      <c r="K80" s="1419"/>
      <c r="L80" s="1417"/>
      <c r="M80" s="1417"/>
      <c r="N80" s="1417"/>
      <c r="O80" s="1417"/>
      <c r="P80" s="1423" t="str">
        <f t="shared" ref="P80:P81" si="36">IF(AND(D80="",E80="",F80="",G80=""),"",AVERAGE(D80:G80))</f>
        <v/>
      </c>
      <c r="Q80" s="1424"/>
      <c r="R80" s="1425" t="str">
        <f t="shared" ref="R80:R81" si="37">IF(AND(H80="",I80="",J80="",K80=""),"",AVERAGE(H80:K80))</f>
        <v/>
      </c>
      <c r="S80" s="1424"/>
      <c r="T80" s="1425" t="str">
        <f>IF(AND(L80="",M80="",N80="",O80=""),"",AVERAGE(L80:O80))</f>
        <v/>
      </c>
      <c r="U80" s="1426"/>
    </row>
    <row r="81" spans="1:21" ht="25.5" customHeight="1">
      <c r="A81" s="1401"/>
      <c r="B81" s="1414">
        <v>4</v>
      </c>
      <c r="C81" s="1415" t="s">
        <v>299</v>
      </c>
      <c r="D81" s="1416"/>
      <c r="E81" s="1417"/>
      <c r="F81" s="1417"/>
      <c r="G81" s="1417"/>
      <c r="H81" s="1418"/>
      <c r="I81" s="1417"/>
      <c r="J81" s="1417"/>
      <c r="K81" s="1419"/>
      <c r="L81" s="1417"/>
      <c r="M81" s="1417"/>
      <c r="N81" s="1417"/>
      <c r="O81" s="1417"/>
      <c r="P81" s="1427" t="str">
        <f t="shared" si="36"/>
        <v/>
      </c>
      <c r="Q81" s="1424"/>
      <c r="R81" s="1428" t="str">
        <f t="shared" si="37"/>
        <v/>
      </c>
      <c r="S81" s="1424"/>
      <c r="T81" s="1428" t="str">
        <f t="shared" ref="T81" si="38">IF(AND(L81="",M81="",N81="",O81=""),"",AVERAGE(L81:O81))</f>
        <v/>
      </c>
      <c r="U81" s="1426"/>
    </row>
    <row r="82" spans="1:21" ht="25.5" customHeight="1" thickBot="1">
      <c r="A82" s="1401"/>
      <c r="B82" s="1460">
        <v>5</v>
      </c>
      <c r="C82" s="1461"/>
      <c r="D82" s="1462"/>
      <c r="E82" s="1463"/>
      <c r="F82" s="1463"/>
      <c r="G82" s="1463"/>
      <c r="H82" s="1464"/>
      <c r="I82" s="1463"/>
      <c r="J82" s="1463"/>
      <c r="K82" s="1465"/>
      <c r="L82" s="1463"/>
      <c r="M82" s="1463"/>
      <c r="N82" s="1463"/>
      <c r="O82" s="1463"/>
      <c r="P82" s="1466" t="str">
        <f>IF(AND(D82="",E82="",F82="",G82=""),"",AVERAGE(D82:G82))</f>
        <v/>
      </c>
      <c r="Q82" s="1468"/>
      <c r="R82" s="1467" t="str">
        <f>IF(AND(H82="",I82="",J82="",K82=""),"",AVERAGE(H82:K82))</f>
        <v/>
      </c>
      <c r="S82" s="1468"/>
      <c r="T82" s="1467" t="str">
        <f>IF(AND(L82="",M82="",N82="",O82=""),"",AVERAGE(L82:O82))</f>
        <v/>
      </c>
      <c r="U82" s="1469"/>
    </row>
    <row r="83" spans="1:21" ht="25.5" customHeight="1">
      <c r="A83" s="1401"/>
      <c r="B83" s="1240"/>
      <c r="C83" s="1240"/>
      <c r="D83" s="1401"/>
      <c r="E83" s="1401"/>
      <c r="F83" s="1401"/>
      <c r="G83" s="1401"/>
      <c r="H83" s="1401"/>
      <c r="I83" s="1401"/>
      <c r="J83" s="1401"/>
      <c r="L83" s="1401"/>
      <c r="M83" s="1401"/>
      <c r="N83" s="1401"/>
    </row>
    <row r="84" spans="1:21" ht="25.5" customHeight="1" thickBot="1">
      <c r="A84" s="1401"/>
      <c r="B84" s="1914" t="s">
        <v>419</v>
      </c>
      <c r="C84" s="1914"/>
      <c r="D84" s="1914"/>
      <c r="E84" s="1914"/>
      <c r="F84" s="1914"/>
      <c r="G84" s="1914"/>
      <c r="H84" s="1242">
        <f>H2</f>
        <v>2026</v>
      </c>
      <c r="I84" s="1242" t="s">
        <v>420</v>
      </c>
      <c r="J84" s="1242">
        <v>5</v>
      </c>
      <c r="K84" s="1242" t="s">
        <v>421</v>
      </c>
      <c r="L84" s="1241"/>
      <c r="M84" s="1241"/>
      <c r="N84" s="1241"/>
      <c r="O84" s="1401"/>
      <c r="P84" s="1401"/>
      <c r="Q84" s="1401"/>
      <c r="R84" s="1401"/>
      <c r="S84" s="1401"/>
      <c r="T84" s="1401"/>
      <c r="U84" s="1401"/>
    </row>
    <row r="85" spans="1:21" ht="25.5" customHeight="1">
      <c r="A85" s="1401"/>
      <c r="B85" s="1915"/>
      <c r="C85" s="1918" t="s">
        <v>422</v>
      </c>
      <c r="D85" s="1921" t="s">
        <v>423</v>
      </c>
      <c r="E85" s="1922"/>
      <c r="F85" s="1922"/>
      <c r="G85" s="1923"/>
      <c r="H85" s="1924" t="s">
        <v>424</v>
      </c>
      <c r="I85" s="1922"/>
      <c r="J85" s="1922"/>
      <c r="K85" s="1923"/>
      <c r="L85" s="1924" t="s">
        <v>440</v>
      </c>
      <c r="M85" s="1922"/>
      <c r="N85" s="1922"/>
      <c r="O85" s="1922"/>
      <c r="P85" s="1924" t="s">
        <v>426</v>
      </c>
      <c r="Q85" s="1923"/>
      <c r="R85" s="1922" t="s">
        <v>424</v>
      </c>
      <c r="S85" s="1923"/>
      <c r="T85" s="1922" t="s">
        <v>425</v>
      </c>
      <c r="U85" s="1927"/>
    </row>
    <row r="86" spans="1:21" ht="25.5" customHeight="1">
      <c r="A86" s="1401"/>
      <c r="B86" s="1916"/>
      <c r="C86" s="1919"/>
      <c r="D86" s="1239" t="s">
        <v>429</v>
      </c>
      <c r="E86" s="1238" t="s">
        <v>430</v>
      </c>
      <c r="F86" s="1238" t="s">
        <v>431</v>
      </c>
      <c r="G86" s="1237" t="s">
        <v>432</v>
      </c>
      <c r="H86" s="1236" t="s">
        <v>429</v>
      </c>
      <c r="I86" s="1238" t="s">
        <v>430</v>
      </c>
      <c r="J86" s="1238" t="s">
        <v>431</v>
      </c>
      <c r="K86" s="1237" t="s">
        <v>432</v>
      </c>
      <c r="L86" s="1235" t="s">
        <v>429</v>
      </c>
      <c r="M86" s="1238" t="s">
        <v>430</v>
      </c>
      <c r="N86" s="1238" t="s">
        <v>431</v>
      </c>
      <c r="O86" s="1234" t="s">
        <v>432</v>
      </c>
      <c r="P86" s="1928" t="s">
        <v>433</v>
      </c>
      <c r="Q86" s="1930" t="s">
        <v>434</v>
      </c>
      <c r="R86" s="1932" t="s">
        <v>435</v>
      </c>
      <c r="S86" s="1930" t="s">
        <v>434</v>
      </c>
      <c r="T86" s="1932" t="s">
        <v>435</v>
      </c>
      <c r="U86" s="1925" t="s">
        <v>441</v>
      </c>
    </row>
    <row r="87" spans="1:21" ht="25.5" customHeight="1" thickBot="1">
      <c r="A87" s="1401"/>
      <c r="B87" s="1917"/>
      <c r="C87" s="1920"/>
      <c r="D87" s="1233">
        <v>1</v>
      </c>
      <c r="E87" s="1232">
        <v>2</v>
      </c>
      <c r="F87" s="1232">
        <v>3</v>
      </c>
      <c r="G87" s="1231">
        <v>4</v>
      </c>
      <c r="H87" s="1230">
        <v>1</v>
      </c>
      <c r="I87" s="1232">
        <v>2</v>
      </c>
      <c r="J87" s="1232">
        <v>3</v>
      </c>
      <c r="K87" s="1231">
        <v>4</v>
      </c>
      <c r="L87" s="1229">
        <v>1</v>
      </c>
      <c r="M87" s="1232">
        <v>2</v>
      </c>
      <c r="N87" s="1232">
        <v>3</v>
      </c>
      <c r="O87" s="1232">
        <v>4</v>
      </c>
      <c r="P87" s="1929"/>
      <c r="Q87" s="1931"/>
      <c r="R87" s="1933"/>
      <c r="S87" s="1931"/>
      <c r="T87" s="1933"/>
      <c r="U87" s="1926"/>
    </row>
    <row r="88" spans="1:21" ht="25.5" customHeight="1">
      <c r="A88" s="1401"/>
      <c r="B88" s="1403">
        <v>1</v>
      </c>
      <c r="C88" s="1404"/>
      <c r="D88" s="1799"/>
      <c r="E88" s="1800"/>
      <c r="F88" s="1800"/>
      <c r="G88" s="1800"/>
      <c r="H88" s="1801"/>
      <c r="I88" s="1800"/>
      <c r="J88" s="1800"/>
      <c r="K88" s="1802"/>
      <c r="L88" s="1800"/>
      <c r="M88" s="1800"/>
      <c r="N88" s="1800"/>
      <c r="O88" s="1802"/>
      <c r="P88" s="1409" t="str">
        <f>IF(AND(D88="",E88="",F88="",G88=""),"",AVERAGE(D88:G88))</f>
        <v/>
      </c>
      <c r="Q88" s="1411" t="s">
        <v>437</v>
      </c>
      <c r="R88" s="1412" t="str">
        <f>IF(AND(H88="",I88="",J88="",K88=""),"",AVERAGE(H88:K88))</f>
        <v/>
      </c>
      <c r="S88" s="1411" t="s">
        <v>438</v>
      </c>
      <c r="T88" s="1412" t="str">
        <f>IF(AND(L88="",M88="",N88="",O88=""),"",AVERAGE(L88:O88))</f>
        <v/>
      </c>
      <c r="U88" s="1413" t="s">
        <v>437</v>
      </c>
    </row>
    <row r="89" spans="1:21" ht="25.5" customHeight="1">
      <c r="A89" s="1401"/>
      <c r="B89" s="1414">
        <v>2</v>
      </c>
      <c r="C89" s="1415"/>
      <c r="D89" s="1803"/>
      <c r="E89" s="1804"/>
      <c r="F89" s="1804"/>
      <c r="G89" s="1804"/>
      <c r="H89" s="1805"/>
      <c r="I89" s="1804"/>
      <c r="J89" s="1804"/>
      <c r="K89" s="1806"/>
      <c r="L89" s="1804"/>
      <c r="M89" s="1804"/>
      <c r="N89" s="1804"/>
      <c r="O89" s="1806"/>
      <c r="P89" s="1420" t="str">
        <f>IF(AND(D89="",E89="",F89="",G89=""),"",AVERAGE(D89:G89))</f>
        <v/>
      </c>
      <c r="Q89" s="1421"/>
      <c r="R89" s="1410" t="str">
        <f>IF(AND(H89="",I89="",J89="",K89=""),"",AVERAGE(H89:K89))</f>
        <v/>
      </c>
      <c r="S89" s="1421"/>
      <c r="T89" s="1410" t="str">
        <f>IF(AND(L89="",M89="",N89="",O89=""),"",AVERAGE(L89:O89))</f>
        <v/>
      </c>
      <c r="U89" s="1422"/>
    </row>
    <row r="90" spans="1:21" ht="25.5" customHeight="1">
      <c r="A90" s="1401"/>
      <c r="B90" s="1414">
        <v>3</v>
      </c>
      <c r="C90" s="1415"/>
      <c r="D90" s="1803"/>
      <c r="E90" s="1804"/>
      <c r="F90" s="1804"/>
      <c r="G90" s="1804"/>
      <c r="H90" s="1805"/>
      <c r="I90" s="1804"/>
      <c r="J90" s="1804"/>
      <c r="K90" s="1806"/>
      <c r="L90" s="1804"/>
      <c r="M90" s="1804"/>
      <c r="N90" s="1804"/>
      <c r="O90" s="1806"/>
      <c r="P90" s="1423" t="str">
        <f t="shared" ref="P90:P91" si="39">IF(AND(D90="",E90="",F90="",G90=""),"",AVERAGE(D90:G90))</f>
        <v/>
      </c>
      <c r="Q90" s="1424"/>
      <c r="R90" s="1425" t="str">
        <f t="shared" ref="R90:R91" si="40">IF(AND(H90="",I90="",J90="",K90=""),"",AVERAGE(H90:K90))</f>
        <v/>
      </c>
      <c r="S90" s="1424"/>
      <c r="T90" s="1425" t="str">
        <f>IF(AND(L90="",M90="",N90="",O90=""),"",AVERAGE(L90:O90))</f>
        <v/>
      </c>
      <c r="U90" s="1426"/>
    </row>
    <row r="91" spans="1:21" ht="25.5" customHeight="1">
      <c r="A91" s="1401"/>
      <c r="B91" s="1414">
        <v>4</v>
      </c>
      <c r="C91" s="1415"/>
      <c r="D91" s="1803"/>
      <c r="E91" s="1804"/>
      <c r="F91" s="1804"/>
      <c r="G91" s="1804"/>
      <c r="H91" s="1805"/>
      <c r="I91" s="1804"/>
      <c r="J91" s="1804"/>
      <c r="K91" s="1806"/>
      <c r="L91" s="1804"/>
      <c r="M91" s="1804"/>
      <c r="N91" s="1804"/>
      <c r="O91" s="1806"/>
      <c r="P91" s="1427" t="str">
        <f t="shared" si="39"/>
        <v/>
      </c>
      <c r="Q91" s="1424"/>
      <c r="R91" s="1428" t="str">
        <f t="shared" si="40"/>
        <v/>
      </c>
      <c r="S91" s="1424"/>
      <c r="T91" s="1428" t="str">
        <f t="shared" ref="T91" si="41">IF(AND(L91="",M91="",N91="",O91=""),"",AVERAGE(L91:O91))</f>
        <v/>
      </c>
      <c r="U91" s="1426"/>
    </row>
    <row r="92" spans="1:21" ht="25.5" customHeight="1" thickBot="1">
      <c r="A92" s="1401"/>
      <c r="B92" s="1429">
        <v>5</v>
      </c>
      <c r="C92" s="1430"/>
      <c r="D92" s="1807"/>
      <c r="E92" s="1808"/>
      <c r="F92" s="1808"/>
      <c r="G92" s="1808"/>
      <c r="H92" s="1809"/>
      <c r="I92" s="1808"/>
      <c r="J92" s="1808"/>
      <c r="K92" s="1810"/>
      <c r="L92" s="1808"/>
      <c r="M92" s="1808"/>
      <c r="N92" s="1808"/>
      <c r="O92" s="1810"/>
      <c r="P92" s="1435" t="str">
        <f>IF(AND(D92="",E92="",F92="",G92=""),"",AVERAGE(D92:G92))</f>
        <v/>
      </c>
      <c r="Q92" s="1436"/>
      <c r="R92" s="1437" t="str">
        <f>IF(AND(H92="",I92="",J92="",K92=""),"",AVERAGE(H92:K92))</f>
        <v/>
      </c>
      <c r="S92" s="1436"/>
      <c r="T92" s="1437" t="str">
        <f>IF(AND(L92="",M92="",N92="",O92=""),"",AVERAGE(L92:O92))</f>
        <v/>
      </c>
      <c r="U92" s="1438"/>
    </row>
    <row r="93" spans="1:21" ht="25.5" customHeight="1" thickTop="1">
      <c r="A93" s="1401"/>
      <c r="B93" s="1439">
        <v>6</v>
      </c>
      <c r="C93" s="1440"/>
      <c r="D93" s="1441"/>
      <c r="E93" s="1442"/>
      <c r="F93" s="1442"/>
      <c r="G93" s="1442"/>
      <c r="H93" s="1443"/>
      <c r="I93" s="1442"/>
      <c r="J93" s="1442"/>
      <c r="K93" s="1444"/>
      <c r="L93" s="1442"/>
      <c r="M93" s="1442"/>
      <c r="N93" s="1442"/>
      <c r="O93" s="1442"/>
      <c r="P93" s="1445" t="str">
        <f>IF(AND(D93="",E93="",F93="",G93=""),"",AVERAGE(D93:G93))</f>
        <v/>
      </c>
      <c r="Q93" s="1725">
        <f>P94*5/6</f>
        <v>1.25</v>
      </c>
      <c r="R93" s="1447" t="str">
        <f>IF(AND(H93="",I93="",J93="",K93=""),"",AVERAGE(H93:K93))</f>
        <v/>
      </c>
      <c r="S93" s="1725">
        <f>R94*5/6</f>
        <v>6.041666666666667</v>
      </c>
      <c r="T93" s="1412" t="str">
        <f>IF(AND(L93="",M93="",N93="",O93=""),"",AVERAGE(L93:O93))</f>
        <v/>
      </c>
      <c r="U93" s="1729">
        <f>T94*5/6</f>
        <v>21.875</v>
      </c>
    </row>
    <row r="94" spans="1:21" ht="25.5" customHeight="1">
      <c r="A94" s="1401"/>
      <c r="B94" s="1414">
        <v>7</v>
      </c>
      <c r="C94" s="1415"/>
      <c r="D94" s="1416">
        <v>2</v>
      </c>
      <c r="E94" s="1417">
        <v>0</v>
      </c>
      <c r="F94" s="1417">
        <v>4</v>
      </c>
      <c r="G94" s="1417">
        <v>0</v>
      </c>
      <c r="H94" s="1418">
        <v>3</v>
      </c>
      <c r="I94" s="1417">
        <v>4</v>
      </c>
      <c r="J94" s="1417">
        <v>4</v>
      </c>
      <c r="K94" s="1419">
        <v>18</v>
      </c>
      <c r="L94" s="1417">
        <v>26</v>
      </c>
      <c r="M94" s="1417">
        <v>16</v>
      </c>
      <c r="N94" s="1417">
        <v>15</v>
      </c>
      <c r="O94" s="1417">
        <v>48</v>
      </c>
      <c r="P94" s="1420">
        <f>IF(AND(D94="",E94="",F94="",G94=""),"",AVERAGE(D94:G94))</f>
        <v>1.5</v>
      </c>
      <c r="Q94" s="1421"/>
      <c r="R94" s="1410">
        <f>IF(AND(H94="",I94="",J94="",K94=""),"",AVERAGE(H94:K94))</f>
        <v>7.25</v>
      </c>
      <c r="S94" s="1822"/>
      <c r="T94" s="1410">
        <f>IF(AND(L94="",M94="",N94="",O94=""),"",AVERAGE(L94:O94))</f>
        <v>26.25</v>
      </c>
      <c r="U94" s="1823"/>
    </row>
    <row r="95" spans="1:21" ht="25.5" customHeight="1">
      <c r="A95" s="1401"/>
      <c r="B95" s="1414">
        <v>8</v>
      </c>
      <c r="C95" s="1415" t="s">
        <v>294</v>
      </c>
      <c r="D95" s="1416"/>
      <c r="E95" s="1417"/>
      <c r="F95" s="1417"/>
      <c r="G95" s="1417"/>
      <c r="H95" s="1418"/>
      <c r="I95" s="1417"/>
      <c r="J95" s="1417"/>
      <c r="K95" s="1419"/>
      <c r="L95" s="1417"/>
      <c r="M95" s="1417"/>
      <c r="N95" s="1417"/>
      <c r="O95" s="1417"/>
      <c r="P95" s="1423" t="str">
        <f t="shared" ref="P95:P96" si="42">IF(AND(D95="",E95="",F95="",G95=""),"",AVERAGE(D95:G95))</f>
        <v/>
      </c>
      <c r="Q95" s="1424"/>
      <c r="R95" s="1425" t="str">
        <f t="shared" ref="R95:R96" si="43">IF(AND(H95="",I95="",J95="",K95=""),"",AVERAGE(H95:K95))</f>
        <v/>
      </c>
      <c r="S95" s="1424"/>
      <c r="T95" s="1425" t="str">
        <f>IF(AND(L95="",M95="",N95="",O95=""),"",AVERAGE(L95:O95))</f>
        <v/>
      </c>
      <c r="U95" s="1426"/>
    </row>
    <row r="96" spans="1:21" ht="25.5" customHeight="1">
      <c r="A96" s="1401"/>
      <c r="B96" s="1414">
        <v>9</v>
      </c>
      <c r="C96" s="1415"/>
      <c r="D96" s="1416"/>
      <c r="E96" s="1417"/>
      <c r="F96" s="1417"/>
      <c r="G96" s="1417"/>
      <c r="H96" s="1418"/>
      <c r="I96" s="1417"/>
      <c r="J96" s="1417"/>
      <c r="K96" s="1419"/>
      <c r="L96" s="1417"/>
      <c r="M96" s="1417"/>
      <c r="N96" s="1417"/>
      <c r="O96" s="1450"/>
      <c r="P96" s="1427" t="str">
        <f t="shared" si="42"/>
        <v/>
      </c>
      <c r="Q96" s="1424"/>
      <c r="R96" s="1428" t="str">
        <f t="shared" si="43"/>
        <v/>
      </c>
      <c r="S96" s="1424"/>
      <c r="T96" s="1428" t="str">
        <f t="shared" ref="T96" si="44">IF(AND(L96="",M96="",N96="",O96=""),"",AVERAGE(L96:O96))</f>
        <v/>
      </c>
      <c r="U96" s="1426"/>
    </row>
    <row r="97" spans="1:21" ht="25.5" customHeight="1" thickBot="1">
      <c r="A97" s="1401"/>
      <c r="B97" s="1451">
        <v>10</v>
      </c>
      <c r="C97" s="1452"/>
      <c r="D97" s="1453"/>
      <c r="E97" s="1454"/>
      <c r="F97" s="1454"/>
      <c r="G97" s="1454"/>
      <c r="H97" s="1455"/>
      <c r="I97" s="1454"/>
      <c r="J97" s="1454"/>
      <c r="K97" s="1456"/>
      <c r="L97" s="1454"/>
      <c r="M97" s="1454"/>
      <c r="N97" s="1454"/>
      <c r="O97" s="1454"/>
      <c r="P97" s="1435" t="str">
        <f>IF(AND(D97="",E97="",F97="",G97=""),"",AVERAGE(D97:G97))</f>
        <v/>
      </c>
      <c r="Q97" s="1436"/>
      <c r="R97" s="1437" t="str">
        <f>IF(AND(H97="",I97="",J97="",K97=""),"",AVERAGE(H97:K97))</f>
        <v/>
      </c>
      <c r="S97" s="1436"/>
      <c r="T97" s="1437" t="str">
        <f>IF(AND(L97="",M97="",N97="",O97=""),"",AVERAGE(L97:O97))</f>
        <v/>
      </c>
      <c r="U97" s="1438"/>
    </row>
    <row r="98" spans="1:21" ht="25.5" customHeight="1" thickTop="1">
      <c r="A98" s="1401"/>
      <c r="B98" s="1403">
        <v>11</v>
      </c>
      <c r="C98" s="1404"/>
      <c r="D98" s="1405"/>
      <c r="E98" s="1406"/>
      <c r="F98" s="1406"/>
      <c r="G98" s="1406"/>
      <c r="H98" s="1407"/>
      <c r="I98" s="1406"/>
      <c r="J98" s="1406"/>
      <c r="K98" s="1408"/>
      <c r="L98" s="1406"/>
      <c r="M98" s="1406"/>
      <c r="N98" s="1406"/>
      <c r="O98" s="1406"/>
      <c r="P98" s="1445" t="str">
        <f>IF(AND(D98="",E98="",F98="",G98=""),"",AVERAGE(D98:G98))</f>
        <v/>
      </c>
      <c r="Q98" s="1724">
        <f>P99</f>
        <v>1</v>
      </c>
      <c r="R98" s="1447" t="str">
        <f>IF(AND(H98="",I98="",J98="",K98=""),"",AVERAGE(H98:K98))</f>
        <v/>
      </c>
      <c r="S98" s="1724">
        <f>R99</f>
        <v>123.5</v>
      </c>
      <c r="T98" s="1412" t="str">
        <f>IF(AND(L98="",M98="",N98="",O98=""),"",AVERAGE(L98:O98))</f>
        <v/>
      </c>
      <c r="U98" s="1730">
        <f>T99</f>
        <v>48.25</v>
      </c>
    </row>
    <row r="99" spans="1:21" ht="25.5" customHeight="1">
      <c r="A99" s="1401"/>
      <c r="B99" s="1414">
        <v>12</v>
      </c>
      <c r="C99" s="1415" t="s">
        <v>295</v>
      </c>
      <c r="D99" s="1416">
        <v>1</v>
      </c>
      <c r="E99" s="1417">
        <v>1</v>
      </c>
      <c r="F99" s="1417">
        <v>1</v>
      </c>
      <c r="G99" s="1417">
        <v>1</v>
      </c>
      <c r="H99" s="1418">
        <v>42</v>
      </c>
      <c r="I99" s="1417">
        <v>137</v>
      </c>
      <c r="J99" s="1417">
        <v>146</v>
      </c>
      <c r="K99" s="1419">
        <v>169</v>
      </c>
      <c r="L99" s="1417">
        <v>27</v>
      </c>
      <c r="M99" s="1417">
        <v>47</v>
      </c>
      <c r="N99" s="1417">
        <v>50</v>
      </c>
      <c r="O99" s="1417">
        <v>69</v>
      </c>
      <c r="P99" s="1420">
        <f>IF(AND(D99="",E99="",F99="",G99=""),"",AVERAGE(D99:G99))</f>
        <v>1</v>
      </c>
      <c r="Q99" s="1421"/>
      <c r="R99" s="1410">
        <f>IF(AND(H99="",I99="",J99="",K99=""),"",AVERAGE(H99:K99))</f>
        <v>123.5</v>
      </c>
      <c r="S99" s="1421"/>
      <c r="T99" s="1410">
        <f>IF(AND(L99="",M99="",N99="",O99=""),"",AVERAGE(L99:O99))</f>
        <v>48.25</v>
      </c>
      <c r="U99" s="1422"/>
    </row>
    <row r="100" spans="1:21" ht="25.5" customHeight="1">
      <c r="A100" s="1401"/>
      <c r="B100" s="1414">
        <v>13</v>
      </c>
      <c r="C100" s="1415"/>
      <c r="D100" s="1416"/>
      <c r="E100" s="1417"/>
      <c r="F100" s="1417"/>
      <c r="G100" s="1417"/>
      <c r="H100" s="1418"/>
      <c r="I100" s="1417"/>
      <c r="J100" s="1417"/>
      <c r="K100" s="1419"/>
      <c r="L100" s="1417"/>
      <c r="M100" s="1417"/>
      <c r="N100" s="1417"/>
      <c r="O100" s="1417"/>
      <c r="P100" s="1423" t="str">
        <f t="shared" ref="P100:P101" si="45">IF(AND(D100="",E100="",F100="",G100=""),"",AVERAGE(D100:G100))</f>
        <v/>
      </c>
      <c r="Q100" s="1424"/>
      <c r="R100" s="1425" t="str">
        <f t="shared" ref="R100:R101" si="46">IF(AND(H100="",I100="",J100="",K100=""),"",AVERAGE(H100:K100))</f>
        <v/>
      </c>
      <c r="S100" s="1424"/>
      <c r="T100" s="1425" t="str">
        <f>IF(AND(L100="",M100="",N100="",O100=""),"",AVERAGE(L100:O100))</f>
        <v/>
      </c>
      <c r="U100" s="1426"/>
    </row>
    <row r="101" spans="1:21" ht="25.5" customHeight="1">
      <c r="A101" s="1401"/>
      <c r="B101" s="1414">
        <v>14</v>
      </c>
      <c r="C101" s="1415"/>
      <c r="D101" s="1416"/>
      <c r="E101" s="1417"/>
      <c r="F101" s="1417"/>
      <c r="G101" s="1417"/>
      <c r="H101" s="1418"/>
      <c r="I101" s="1417"/>
      <c r="J101" s="1417"/>
      <c r="K101" s="1419"/>
      <c r="L101" s="1417"/>
      <c r="M101" s="1417"/>
      <c r="N101" s="1417"/>
      <c r="O101" s="1417"/>
      <c r="P101" s="1427" t="str">
        <f t="shared" si="45"/>
        <v/>
      </c>
      <c r="Q101" s="1424"/>
      <c r="R101" s="1428" t="str">
        <f t="shared" si="46"/>
        <v/>
      </c>
      <c r="S101" s="1424"/>
      <c r="T101" s="1428" t="str">
        <f t="shared" ref="T101" si="47">IF(AND(L101="",M101="",N101="",O101=""),"",AVERAGE(L101:O101))</f>
        <v/>
      </c>
      <c r="U101" s="1426"/>
    </row>
    <row r="102" spans="1:21" ht="25.5" customHeight="1" thickBot="1">
      <c r="A102" s="1401"/>
      <c r="B102" s="1429">
        <v>15</v>
      </c>
      <c r="C102" s="1430"/>
      <c r="D102" s="1431"/>
      <c r="E102" s="1432"/>
      <c r="F102" s="1432"/>
      <c r="G102" s="1432"/>
      <c r="H102" s="1433"/>
      <c r="I102" s="1432"/>
      <c r="J102" s="1432"/>
      <c r="K102" s="1434"/>
      <c r="L102" s="1432"/>
      <c r="M102" s="1432"/>
      <c r="N102" s="1432"/>
      <c r="O102" s="1432"/>
      <c r="P102" s="1435" t="str">
        <f>IF(AND(D102="",E102="",F102="",G102=""),"",AVERAGE(D102:G102))</f>
        <v/>
      </c>
      <c r="Q102" s="1436"/>
      <c r="R102" s="1437" t="str">
        <f>IF(AND(H102="",I102="",J102="",K102=""),"",AVERAGE(H102:K102))</f>
        <v/>
      </c>
      <c r="S102" s="1436"/>
      <c r="T102" s="1437" t="str">
        <f>IF(AND(L102="",M102="",N102="",O102=""),"",AVERAGE(L102:O102))</f>
        <v/>
      </c>
      <c r="U102" s="1438"/>
    </row>
    <row r="103" spans="1:21" ht="25.5" customHeight="1" thickTop="1">
      <c r="A103" s="1401"/>
      <c r="B103" s="1439">
        <v>16</v>
      </c>
      <c r="C103" s="1440" t="s">
        <v>296</v>
      </c>
      <c r="D103" s="1441"/>
      <c r="E103" s="1442"/>
      <c r="F103" s="1442"/>
      <c r="G103" s="1442"/>
      <c r="H103" s="1443"/>
      <c r="I103" s="1442"/>
      <c r="J103" s="1442"/>
      <c r="K103" s="1444"/>
      <c r="L103" s="1442"/>
      <c r="M103" s="1442"/>
      <c r="N103" s="1442"/>
      <c r="O103" s="1442"/>
      <c r="P103" s="1445" t="str">
        <f>IF(AND(D103="",E103="",F103="",G103=""),"",AVERAGE(D103:G103))</f>
        <v/>
      </c>
      <c r="Q103" s="1725">
        <f>P105*5/6</f>
        <v>2.2916666666666665</v>
      </c>
      <c r="R103" s="1447" t="str">
        <f>IF(AND(H103="",I103="",J103="",K103=""),"",AVERAGE(H103:K103))</f>
        <v/>
      </c>
      <c r="S103" s="1725">
        <f>R105*5/6</f>
        <v>127.08333333333333</v>
      </c>
      <c r="T103" s="1412" t="str">
        <f>IF(AND(L103="",M103="",N103="",O103=""),"",AVERAGE(L103:O103))</f>
        <v/>
      </c>
      <c r="U103" s="1729">
        <f>T105*5/6</f>
        <v>58.333333333333336</v>
      </c>
    </row>
    <row r="104" spans="1:21" ht="25.5" customHeight="1">
      <c r="A104" s="1401"/>
      <c r="B104" s="1414">
        <v>17</v>
      </c>
      <c r="C104" s="1415"/>
      <c r="D104" s="1416"/>
      <c r="E104" s="1417"/>
      <c r="F104" s="1417"/>
      <c r="G104" s="1417"/>
      <c r="H104" s="1418"/>
      <c r="I104" s="1417"/>
      <c r="J104" s="1417"/>
      <c r="K104" s="1419"/>
      <c r="L104" s="1417"/>
      <c r="M104" s="1417"/>
      <c r="N104" s="1417"/>
      <c r="O104" s="1417"/>
      <c r="P104" s="1420" t="str">
        <f>IF(AND(D104="",E104="",F104="",G104=""),"",AVERAGE(D104:G104))</f>
        <v/>
      </c>
      <c r="Q104" s="1421"/>
      <c r="R104" s="1410" t="str">
        <f>IF(AND(H104="",I104="",J104="",K104=""),"",AVERAGE(H104:K104))</f>
        <v/>
      </c>
      <c r="S104" s="1421"/>
      <c r="T104" s="1410" t="str">
        <f>IF(AND(L104="",M104="",N104="",O104=""),"",AVERAGE(L104:O104))</f>
        <v/>
      </c>
      <c r="U104" s="1422"/>
    </row>
    <row r="105" spans="1:21" ht="25.5" customHeight="1">
      <c r="A105" s="1401"/>
      <c r="B105" s="1414">
        <v>18</v>
      </c>
      <c r="C105" s="1415"/>
      <c r="D105" s="1416">
        <v>1</v>
      </c>
      <c r="E105" s="1417">
        <v>3</v>
      </c>
      <c r="F105" s="1417">
        <v>5</v>
      </c>
      <c r="G105" s="1417">
        <v>2</v>
      </c>
      <c r="H105" s="1418">
        <v>213</v>
      </c>
      <c r="I105" s="1417">
        <v>95</v>
      </c>
      <c r="J105" s="1417">
        <v>187</v>
      </c>
      <c r="K105" s="1419">
        <v>115</v>
      </c>
      <c r="L105" s="1417">
        <v>68</v>
      </c>
      <c r="M105" s="1417">
        <v>63</v>
      </c>
      <c r="N105" s="1417">
        <v>82</v>
      </c>
      <c r="O105" s="1417">
        <v>67</v>
      </c>
      <c r="P105" s="1423">
        <f t="shared" ref="P105:P106" si="48">IF(AND(D105="",E105="",F105="",G105=""),"",AVERAGE(D105:G105))</f>
        <v>2.75</v>
      </c>
      <c r="Q105" s="1424"/>
      <c r="R105" s="1425">
        <f t="shared" ref="R105:R106" si="49">IF(AND(H105="",I105="",J105="",K105=""),"",AVERAGE(H105:K105))</f>
        <v>152.5</v>
      </c>
      <c r="S105" s="1424"/>
      <c r="T105" s="1425">
        <f>IF(AND(L105="",M105="",N105="",O105=""),"",AVERAGE(L105:O105))</f>
        <v>70</v>
      </c>
      <c r="U105" s="1426"/>
    </row>
    <row r="106" spans="1:21" ht="25.5" customHeight="1">
      <c r="A106" s="1401"/>
      <c r="B106" s="1414">
        <v>19</v>
      </c>
      <c r="C106" s="1415"/>
      <c r="D106" s="1416"/>
      <c r="E106" s="1417"/>
      <c r="F106" s="1417"/>
      <c r="G106" s="1417"/>
      <c r="H106" s="1418"/>
      <c r="I106" s="1417"/>
      <c r="J106" s="1417"/>
      <c r="K106" s="1419"/>
      <c r="L106" s="1417"/>
      <c r="M106" s="1417"/>
      <c r="N106" s="1417"/>
      <c r="O106" s="1417"/>
      <c r="P106" s="1427" t="str">
        <f t="shared" si="48"/>
        <v/>
      </c>
      <c r="Q106" s="1424"/>
      <c r="R106" s="1428" t="str">
        <f t="shared" si="49"/>
        <v/>
      </c>
      <c r="S106" s="1424"/>
      <c r="T106" s="1428" t="str">
        <f t="shared" ref="T106" si="50">IF(AND(L106="",M106="",N106="",O106=""),"",AVERAGE(L106:O106))</f>
        <v/>
      </c>
      <c r="U106" s="1426"/>
    </row>
    <row r="107" spans="1:21" ht="25.5" customHeight="1" thickBot="1">
      <c r="A107" s="1401"/>
      <c r="B107" s="1451">
        <v>20</v>
      </c>
      <c r="C107" s="1452"/>
      <c r="D107" s="1453"/>
      <c r="E107" s="1454"/>
      <c r="F107" s="1454"/>
      <c r="G107" s="1454"/>
      <c r="H107" s="1455"/>
      <c r="I107" s="1454"/>
      <c r="J107" s="1454"/>
      <c r="K107" s="1456"/>
      <c r="L107" s="1454"/>
      <c r="M107" s="1454"/>
      <c r="N107" s="1454"/>
      <c r="O107" s="1454"/>
      <c r="P107" s="1435" t="str">
        <f>IF(AND(D107="",E107="",F107="",G107=""),"",AVERAGE(D107:G107))</f>
        <v/>
      </c>
      <c r="Q107" s="1436"/>
      <c r="R107" s="1437" t="str">
        <f>IF(AND(H107="",I107="",J107="",K107=""),"",AVERAGE(H107:K107))</f>
        <v/>
      </c>
      <c r="S107" s="1436"/>
      <c r="T107" s="1437" t="str">
        <f>IF(AND(L107="",M107="",N107="",O107=""),"",AVERAGE(L107:O107))</f>
        <v/>
      </c>
      <c r="U107" s="1438"/>
    </row>
    <row r="108" spans="1:21" ht="25.5" customHeight="1" thickTop="1">
      <c r="A108" s="1401"/>
      <c r="B108" s="1403">
        <v>21</v>
      </c>
      <c r="C108" s="1404" t="s">
        <v>297</v>
      </c>
      <c r="D108" s="1405">
        <v>1</v>
      </c>
      <c r="E108" s="1406">
        <v>1</v>
      </c>
      <c r="F108" s="1406">
        <v>3</v>
      </c>
      <c r="G108" s="1406">
        <v>3</v>
      </c>
      <c r="H108" s="1407">
        <v>96</v>
      </c>
      <c r="I108" s="1406">
        <v>24</v>
      </c>
      <c r="J108" s="1406">
        <v>134</v>
      </c>
      <c r="K108" s="1408">
        <v>45</v>
      </c>
      <c r="L108" s="1406">
        <v>46</v>
      </c>
      <c r="M108" s="1406">
        <v>11</v>
      </c>
      <c r="N108" s="1406">
        <v>31</v>
      </c>
      <c r="O108" s="1406">
        <v>35</v>
      </c>
      <c r="P108" s="1445">
        <f>IF(AND(D108="",E108="",F108="",G108=""),"",AVERAGE(D108:G108))</f>
        <v>2</v>
      </c>
      <c r="Q108" s="1446">
        <f>P108*5/3</f>
        <v>3.3333333333333335</v>
      </c>
      <c r="R108" s="1447">
        <f>IF(AND(H108="",I108="",J108="",K108=""),"",AVERAGE(H108:K108))</f>
        <v>74.75</v>
      </c>
      <c r="S108" s="1448">
        <f>R108*5/3</f>
        <v>124.58333333333333</v>
      </c>
      <c r="T108" s="1412">
        <f>IF(AND(L108="",M108="",N108="",O108=""),"",AVERAGE(L108:O108))</f>
        <v>30.75</v>
      </c>
      <c r="U108" s="1449">
        <f>T108*5/3</f>
        <v>51.25</v>
      </c>
    </row>
    <row r="109" spans="1:21" ht="25.5" customHeight="1">
      <c r="A109" s="1401"/>
      <c r="B109" s="1414">
        <v>22</v>
      </c>
      <c r="C109" s="1415"/>
      <c r="D109" s="1416"/>
      <c r="E109" s="1417"/>
      <c r="F109" s="1417"/>
      <c r="G109" s="1417"/>
      <c r="H109" s="1418"/>
      <c r="I109" s="1417"/>
      <c r="J109" s="1417"/>
      <c r="K109" s="1419"/>
      <c r="L109" s="1417"/>
      <c r="M109" s="1417"/>
      <c r="N109" s="1417"/>
      <c r="O109" s="1417"/>
      <c r="P109" s="1420" t="str">
        <f>IF(AND(D109="",E109="",F109="",G109=""),"",AVERAGE(D109:G109))</f>
        <v/>
      </c>
      <c r="Q109" s="1421"/>
      <c r="R109" s="1410" t="str">
        <f>IF(AND(H109="",I109="",J109="",K109=""),"",AVERAGE(H109:K109))</f>
        <v/>
      </c>
      <c r="S109" s="1421"/>
      <c r="T109" s="1410" t="str">
        <f>IF(AND(L109="",M109="",N109="",O109=""),"",AVERAGE(L109:O109))</f>
        <v/>
      </c>
      <c r="U109" s="1422"/>
    </row>
    <row r="110" spans="1:21" ht="25.5" customHeight="1">
      <c r="A110" s="1401"/>
      <c r="B110" s="1414">
        <v>23</v>
      </c>
      <c r="C110" s="1415"/>
      <c r="D110" s="1416"/>
      <c r="E110" s="1417"/>
      <c r="F110" s="1417"/>
      <c r="G110" s="1417"/>
      <c r="H110" s="1418"/>
      <c r="I110" s="1417"/>
      <c r="J110" s="1417"/>
      <c r="K110" s="1419"/>
      <c r="L110" s="1417"/>
      <c r="M110" s="1417"/>
      <c r="N110" s="1417"/>
      <c r="O110" s="1417"/>
      <c r="P110" s="1423" t="str">
        <f t="shared" ref="P110:P111" si="51">IF(AND(D110="",E110="",F110="",G110=""),"",AVERAGE(D110:G110))</f>
        <v/>
      </c>
      <c r="Q110" s="1424"/>
      <c r="R110" s="1425" t="str">
        <f t="shared" ref="R110:R111" si="52">IF(AND(H110="",I110="",J110="",K110=""),"",AVERAGE(H110:K110))</f>
        <v/>
      </c>
      <c r="S110" s="1424"/>
      <c r="T110" s="1425" t="str">
        <f>IF(AND(L110="",M110="",N110="",O110=""),"",AVERAGE(L110:O110))</f>
        <v/>
      </c>
      <c r="U110" s="1426"/>
    </row>
    <row r="111" spans="1:21" ht="25.5" customHeight="1">
      <c r="A111" s="1401"/>
      <c r="B111" s="1414">
        <v>24</v>
      </c>
      <c r="C111" s="1415"/>
      <c r="D111" s="1416"/>
      <c r="E111" s="1417"/>
      <c r="F111" s="1417"/>
      <c r="G111" s="1417"/>
      <c r="H111" s="1418"/>
      <c r="I111" s="1417"/>
      <c r="J111" s="1417"/>
      <c r="K111" s="1419"/>
      <c r="L111" s="1417"/>
      <c r="M111" s="1417"/>
      <c r="N111" s="1417"/>
      <c r="O111" s="1417"/>
      <c r="P111" s="1427" t="str">
        <f t="shared" si="51"/>
        <v/>
      </c>
      <c r="Q111" s="1424"/>
      <c r="R111" s="1428" t="str">
        <f t="shared" si="52"/>
        <v/>
      </c>
      <c r="S111" s="1424"/>
      <c r="T111" s="1428" t="str">
        <f t="shared" ref="T111" si="53">IF(AND(L111="",M111="",N111="",O111=""),"",AVERAGE(L111:O111))</f>
        <v/>
      </c>
      <c r="U111" s="1426"/>
    </row>
    <row r="112" spans="1:21" ht="25.5" customHeight="1" thickBot="1">
      <c r="A112" s="1401"/>
      <c r="B112" s="1429">
        <v>25</v>
      </c>
      <c r="C112" s="1430"/>
      <c r="D112" s="1431"/>
      <c r="E112" s="1432"/>
      <c r="F112" s="1432"/>
      <c r="G112" s="1432"/>
      <c r="H112" s="1433"/>
      <c r="I112" s="1432"/>
      <c r="J112" s="1432"/>
      <c r="K112" s="1434"/>
      <c r="L112" s="1432"/>
      <c r="M112" s="1432"/>
      <c r="N112" s="1432"/>
      <c r="O112" s="1432"/>
      <c r="P112" s="1435" t="str">
        <f>IF(AND(D112="",E112="",F112="",G112=""),"",AVERAGE(D112:G112))</f>
        <v/>
      </c>
      <c r="Q112" s="1436"/>
      <c r="R112" s="1437" t="str">
        <f>IF(AND(H112="",I112="",J112="",K112=""),"",AVERAGE(H112:K112))</f>
        <v/>
      </c>
      <c r="S112" s="1436"/>
      <c r="T112" s="1437" t="str">
        <f>IF(AND(L112="",M112="",N112="",O112=""),"",AVERAGE(L112:O112))</f>
        <v/>
      </c>
      <c r="U112" s="1438"/>
    </row>
    <row r="113" spans="1:21" ht="25.5" customHeight="1" thickTop="1">
      <c r="A113" s="1401"/>
      <c r="B113" s="1439">
        <v>26</v>
      </c>
      <c r="C113" s="1440"/>
      <c r="D113" s="1441">
        <v>10</v>
      </c>
      <c r="E113" s="1442">
        <v>9</v>
      </c>
      <c r="F113" s="1442">
        <v>2</v>
      </c>
      <c r="G113" s="1442">
        <v>9</v>
      </c>
      <c r="H113" s="1443">
        <v>77</v>
      </c>
      <c r="I113" s="1442">
        <v>120</v>
      </c>
      <c r="J113" s="1442">
        <v>71</v>
      </c>
      <c r="K113" s="1444">
        <v>117</v>
      </c>
      <c r="L113" s="1442">
        <v>5</v>
      </c>
      <c r="M113" s="1442">
        <v>21</v>
      </c>
      <c r="N113" s="1442">
        <v>14</v>
      </c>
      <c r="O113" s="1442">
        <v>24</v>
      </c>
      <c r="P113" s="1445">
        <f>IF(AND(D113="",E113="",F113="",G113=""),"",AVERAGE(D113:G113))</f>
        <v>7.5</v>
      </c>
      <c r="Q113" s="1446">
        <f>P113</f>
        <v>7.5</v>
      </c>
      <c r="R113" s="1447">
        <f>IF(AND(H113="",I113="",J113="",K113=""),"",AVERAGE(H113:K113))</f>
        <v>96.25</v>
      </c>
      <c r="S113" s="1448">
        <f>R113</f>
        <v>96.25</v>
      </c>
      <c r="T113" s="1412">
        <f>IF(AND(L113="",M113="",N113="",O113=""),"",AVERAGE(L113:O113))</f>
        <v>16</v>
      </c>
      <c r="U113" s="1449">
        <f>T113</f>
        <v>16</v>
      </c>
    </row>
    <row r="114" spans="1:21" ht="25.5" customHeight="1">
      <c r="A114" s="1401"/>
      <c r="B114" s="1414">
        <v>27</v>
      </c>
      <c r="C114" s="1415" t="s">
        <v>298</v>
      </c>
      <c r="D114" s="1416"/>
      <c r="E114" s="1417"/>
      <c r="F114" s="1417"/>
      <c r="G114" s="1417"/>
      <c r="H114" s="1418"/>
      <c r="I114" s="1417"/>
      <c r="J114" s="1417"/>
      <c r="K114" s="1419"/>
      <c r="L114" s="1417"/>
      <c r="M114" s="1417"/>
      <c r="N114" s="1417"/>
      <c r="O114" s="1417"/>
      <c r="P114" s="1420" t="str">
        <f>IF(AND(D114="",E114="",F114="",G114=""),"",AVERAGE(D114:G114))</f>
        <v/>
      </c>
      <c r="Q114" s="1421"/>
      <c r="R114" s="1410" t="str">
        <f>IF(AND(H114="",I114="",J114="",K114=""),"",AVERAGE(H114:K114))</f>
        <v/>
      </c>
      <c r="S114" s="1421"/>
      <c r="T114" s="1410" t="str">
        <f>IF(AND(L114="",M114="",N114="",O114=""),"",AVERAGE(L114:O114))</f>
        <v/>
      </c>
      <c r="U114" s="1422"/>
    </row>
    <row r="115" spans="1:21" ht="25.5" customHeight="1">
      <c r="A115" s="1401"/>
      <c r="B115" s="1414">
        <v>28</v>
      </c>
      <c r="C115" s="1415"/>
      <c r="D115" s="1416"/>
      <c r="E115" s="1417"/>
      <c r="F115" s="1417"/>
      <c r="G115" s="1417"/>
      <c r="H115" s="1418"/>
      <c r="I115" s="1417"/>
      <c r="J115" s="1417"/>
      <c r="K115" s="1419"/>
      <c r="L115" s="1417"/>
      <c r="M115" s="1417"/>
      <c r="N115" s="1417"/>
      <c r="O115" s="1417"/>
      <c r="P115" s="1423" t="str">
        <f t="shared" ref="P115:P116" si="54">IF(AND(D115="",E115="",F115="",G115=""),"",AVERAGE(D115:G115))</f>
        <v/>
      </c>
      <c r="Q115" s="1424"/>
      <c r="R115" s="1425" t="str">
        <f t="shared" ref="R115:R116" si="55">IF(AND(H115="",I115="",J115="",K115=""),"",AVERAGE(H115:K115))</f>
        <v/>
      </c>
      <c r="S115" s="1424"/>
      <c r="T115" s="1425" t="str">
        <f>IF(AND(L115="",M115="",N115="",O115=""),"",AVERAGE(L115:O115))</f>
        <v/>
      </c>
      <c r="U115" s="1426"/>
    </row>
    <row r="116" spans="1:21" ht="25.5" customHeight="1">
      <c r="A116" s="1401"/>
      <c r="B116" s="1414">
        <v>29</v>
      </c>
      <c r="C116" s="1415"/>
      <c r="D116" s="1416"/>
      <c r="E116" s="1417"/>
      <c r="F116" s="1417"/>
      <c r="G116" s="1417"/>
      <c r="H116" s="1418"/>
      <c r="I116" s="1417"/>
      <c r="J116" s="1417"/>
      <c r="K116" s="1419"/>
      <c r="L116" s="1417"/>
      <c r="M116" s="1417"/>
      <c r="N116" s="1417"/>
      <c r="O116" s="1417"/>
      <c r="P116" s="1427" t="str">
        <f t="shared" si="54"/>
        <v/>
      </c>
      <c r="Q116" s="1424"/>
      <c r="R116" s="1428" t="str">
        <f t="shared" si="55"/>
        <v/>
      </c>
      <c r="S116" s="1424"/>
      <c r="T116" s="1428" t="str">
        <f t="shared" ref="T116" si="56">IF(AND(L116="",M116="",N116="",O116=""),"",AVERAGE(L116:O116))</f>
        <v/>
      </c>
      <c r="U116" s="1426"/>
    </row>
    <row r="117" spans="1:21" ht="25.5" customHeight="1">
      <c r="A117" s="1401"/>
      <c r="B117" s="1414">
        <v>30</v>
      </c>
      <c r="C117" s="1415"/>
      <c r="D117" s="1416"/>
      <c r="E117" s="1417"/>
      <c r="F117" s="1417"/>
      <c r="G117" s="1417"/>
      <c r="H117" s="1418"/>
      <c r="I117" s="1417"/>
      <c r="J117" s="1417"/>
      <c r="K117" s="1419"/>
      <c r="L117" s="1417"/>
      <c r="M117" s="1417"/>
      <c r="N117" s="1417"/>
      <c r="O117" s="1417"/>
      <c r="P117" s="1427" t="str">
        <f>IF(AND(D117="",E117="",F117="",G117=""),"",AVERAGE(D117:G117))</f>
        <v/>
      </c>
      <c r="Q117" s="1424"/>
      <c r="R117" s="1428" t="str">
        <f>IF(AND(H117="",I117="",J117="",K117=""),"",AVERAGE(H117:K117))</f>
        <v/>
      </c>
      <c r="S117" s="1424"/>
      <c r="T117" s="1428" t="str">
        <f>IF(AND(L117="",M117="",N117="",O117=""),"",AVERAGE(L117:O117))</f>
        <v/>
      </c>
      <c r="U117" s="1457"/>
    </row>
    <row r="118" spans="1:21" ht="25.5" customHeight="1" thickBot="1">
      <c r="A118" s="1401"/>
      <c r="B118" s="1451">
        <v>31</v>
      </c>
      <c r="C118" s="1452"/>
      <c r="D118" s="1453"/>
      <c r="E118" s="1454"/>
      <c r="F118" s="1454"/>
      <c r="G118" s="1454"/>
      <c r="H118" s="1455"/>
      <c r="I118" s="1454"/>
      <c r="J118" s="1454"/>
      <c r="K118" s="1456"/>
      <c r="L118" s="1454"/>
      <c r="M118" s="1454"/>
      <c r="N118" s="1454"/>
      <c r="O118" s="1454"/>
      <c r="P118" s="1427" t="str">
        <f>IF(AND(D118="",E118="",F118="",G118=""),"",AVERAGE(D118:G118))</f>
        <v/>
      </c>
      <c r="Q118" s="1458"/>
      <c r="R118" s="1435" t="str">
        <f>IF(AND(H118="",I118="",J118="",K118=""),"",AVERAGE(H118:K118))</f>
        <v/>
      </c>
      <c r="S118" s="1458"/>
      <c r="T118" s="1435" t="str">
        <f>IF(AND(L118="",M118="",N118="",O118=""),"",AVERAGE(L118:O118))</f>
        <v/>
      </c>
      <c r="U118" s="1426"/>
    </row>
    <row r="119" spans="1:21" ht="25.5" customHeight="1" thickTop="1">
      <c r="A119" s="1401"/>
      <c r="B119" s="1403">
        <v>1</v>
      </c>
      <c r="C119" s="1404" t="s">
        <v>299</v>
      </c>
      <c r="D119" s="1441">
        <v>11</v>
      </c>
      <c r="E119" s="1442">
        <v>9</v>
      </c>
      <c r="F119" s="1442">
        <v>3</v>
      </c>
      <c r="G119" s="1442">
        <v>7</v>
      </c>
      <c r="H119" s="1443">
        <v>108</v>
      </c>
      <c r="I119" s="1442">
        <v>118</v>
      </c>
      <c r="J119" s="1442">
        <v>85</v>
      </c>
      <c r="K119" s="1444">
        <v>111</v>
      </c>
      <c r="L119" s="1442">
        <v>4</v>
      </c>
      <c r="M119" s="1442">
        <v>5</v>
      </c>
      <c r="N119" s="1442">
        <v>8</v>
      </c>
      <c r="O119" s="1444">
        <v>6</v>
      </c>
      <c r="P119" s="1445">
        <f>IF(AND(D119="",E119="",F119="",G119=""),"",AVERAGE(D119:G119))</f>
        <v>7.5</v>
      </c>
      <c r="Q119" s="1446">
        <f>P119*5/6</f>
        <v>6.25</v>
      </c>
      <c r="R119" s="1412">
        <f>IF(AND(H119="",I119="",J119="",K119=""),"",AVERAGE(H119:K119))</f>
        <v>105.5</v>
      </c>
      <c r="S119" s="1448">
        <f>R119*5/6</f>
        <v>87.916666666666671</v>
      </c>
      <c r="T119" s="1412">
        <f>IF(AND(L119="",M119="",N119="",O119=""),"",AVERAGE(L119:O119))</f>
        <v>5.75</v>
      </c>
      <c r="U119" s="1449">
        <f>T119*5/6</f>
        <v>4.791666666666667</v>
      </c>
    </row>
    <row r="120" spans="1:21" ht="25.5" customHeight="1">
      <c r="B120" s="1414">
        <v>2</v>
      </c>
      <c r="C120" s="1415"/>
      <c r="D120" s="1405"/>
      <c r="E120" s="1406"/>
      <c r="F120" s="1406"/>
      <c r="G120" s="1406"/>
      <c r="H120" s="1407"/>
      <c r="I120" s="1406"/>
      <c r="J120" s="1406"/>
      <c r="K120" s="1408"/>
      <c r="L120" s="1406"/>
      <c r="M120" s="1406"/>
      <c r="N120" s="1406"/>
      <c r="O120" s="1406"/>
      <c r="P120" s="1420" t="str">
        <f>IF(AND(D120="",E120="",F120="",G120=""),"",AVERAGE(D120:G120))</f>
        <v/>
      </c>
      <c r="Q120" s="1421"/>
      <c r="R120" s="1410" t="str">
        <f>IF(AND(H120="",I120="",J120="",K120=""),"",AVERAGE(H120:K120))</f>
        <v/>
      </c>
      <c r="S120" s="1421"/>
      <c r="T120" s="1410" t="str">
        <f>IF(AND(L120="",M120="",N120="",O120=""),"",AVERAGE(L120:O120))</f>
        <v/>
      </c>
      <c r="U120" s="1422"/>
    </row>
    <row r="121" spans="1:21" ht="25.5" customHeight="1">
      <c r="B121" s="1414">
        <v>3</v>
      </c>
      <c r="C121" s="1415"/>
      <c r="D121" s="1416"/>
      <c r="E121" s="1417"/>
      <c r="F121" s="1417"/>
      <c r="G121" s="1417"/>
      <c r="H121" s="1418"/>
      <c r="I121" s="1417"/>
      <c r="J121" s="1417"/>
      <c r="K121" s="1419"/>
      <c r="L121" s="1417"/>
      <c r="M121" s="1417"/>
      <c r="N121" s="1417"/>
      <c r="O121" s="1417"/>
      <c r="P121" s="1423" t="str">
        <f t="shared" ref="P121:P122" si="57">IF(AND(D121="",E121="",F121="",G121=""),"",AVERAGE(D121:G121))</f>
        <v/>
      </c>
      <c r="Q121" s="1424"/>
      <c r="R121" s="1425" t="str">
        <f t="shared" ref="R121:R122" si="58">IF(AND(H121="",I121="",J121="",K121=""),"",AVERAGE(H121:K121))</f>
        <v/>
      </c>
      <c r="S121" s="1424"/>
      <c r="T121" s="1425" t="str">
        <f>IF(AND(L121="",M121="",N121="",O121=""),"",AVERAGE(L121:O121))</f>
        <v/>
      </c>
      <c r="U121" s="1426"/>
    </row>
    <row r="122" spans="1:21" ht="25.5" customHeight="1">
      <c r="B122" s="1414">
        <v>4</v>
      </c>
      <c r="C122" s="1415"/>
      <c r="D122" s="1416"/>
      <c r="E122" s="1417"/>
      <c r="F122" s="1417"/>
      <c r="G122" s="1417"/>
      <c r="H122" s="1418"/>
      <c r="I122" s="1417"/>
      <c r="J122" s="1417"/>
      <c r="K122" s="1419"/>
      <c r="L122" s="1417"/>
      <c r="M122" s="1417"/>
      <c r="N122" s="1417"/>
      <c r="O122" s="1417"/>
      <c r="P122" s="1427" t="str">
        <f t="shared" si="57"/>
        <v/>
      </c>
      <c r="Q122" s="1424"/>
      <c r="R122" s="1428" t="str">
        <f t="shared" si="58"/>
        <v/>
      </c>
      <c r="S122" s="1424"/>
      <c r="T122" s="1428" t="str">
        <f t="shared" ref="T122" si="59">IF(AND(L122="",M122="",N122="",O122=""),"",AVERAGE(L122:O122))</f>
        <v/>
      </c>
      <c r="U122" s="1426"/>
    </row>
    <row r="123" spans="1:21" ht="25.5" customHeight="1" thickBot="1">
      <c r="B123" s="1460">
        <v>5</v>
      </c>
      <c r="C123" s="1461"/>
      <c r="D123" s="1462"/>
      <c r="E123" s="1463"/>
      <c r="F123" s="1463"/>
      <c r="G123" s="1463"/>
      <c r="H123" s="1464"/>
      <c r="I123" s="1463"/>
      <c r="J123" s="1463"/>
      <c r="K123" s="1465"/>
      <c r="L123" s="1463"/>
      <c r="M123" s="1463"/>
      <c r="N123" s="1463"/>
      <c r="O123" s="1463"/>
      <c r="P123" s="1466" t="str">
        <f>IF(AND(D123="",E123="",F123="",G123=""),"",AVERAGE(D123:G123))</f>
        <v/>
      </c>
      <c r="Q123" s="1468"/>
      <c r="R123" s="1467" t="str">
        <f>IF(AND(H123="",I123="",J123="",K123=""),"",AVERAGE(H123:K123))</f>
        <v/>
      </c>
      <c r="S123" s="1468"/>
      <c r="T123" s="1467" t="str">
        <f>IF(AND(L123="",M123="",N123="",O123=""),"",AVERAGE(L123:O123))</f>
        <v/>
      </c>
      <c r="U123" s="1469"/>
    </row>
    <row r="124" spans="1:21" ht="25.5" customHeight="1"/>
    <row r="125" spans="1:21" ht="25.5" customHeight="1" thickBot="1">
      <c r="B125" s="1914" t="s">
        <v>419</v>
      </c>
      <c r="C125" s="1914"/>
      <c r="D125" s="1914"/>
      <c r="E125" s="1914"/>
      <c r="F125" s="1914"/>
      <c r="G125" s="1914"/>
      <c r="H125" s="1242">
        <f>H2</f>
        <v>2026</v>
      </c>
      <c r="I125" s="1242" t="s">
        <v>420</v>
      </c>
      <c r="J125" s="1242">
        <v>6</v>
      </c>
      <c r="K125" s="1242" t="s">
        <v>421</v>
      </c>
      <c r="L125" s="1241"/>
      <c r="M125" s="1241"/>
      <c r="N125" s="1241"/>
      <c r="O125" s="1401"/>
      <c r="P125" s="1401"/>
      <c r="Q125" s="1401"/>
      <c r="R125" s="1401"/>
      <c r="S125" s="1401"/>
      <c r="T125" s="1401"/>
      <c r="U125" s="1401"/>
    </row>
    <row r="126" spans="1:21" ht="25.5" customHeight="1">
      <c r="B126" s="1915"/>
      <c r="C126" s="1918" t="s">
        <v>422</v>
      </c>
      <c r="D126" s="1921" t="s">
        <v>423</v>
      </c>
      <c r="E126" s="1922"/>
      <c r="F126" s="1922"/>
      <c r="G126" s="1923"/>
      <c r="H126" s="1924" t="s">
        <v>424</v>
      </c>
      <c r="I126" s="1922"/>
      <c r="J126" s="1922"/>
      <c r="K126" s="1923"/>
      <c r="L126" s="1924" t="s">
        <v>440</v>
      </c>
      <c r="M126" s="1922"/>
      <c r="N126" s="1922"/>
      <c r="O126" s="1922"/>
      <c r="P126" s="1924" t="s">
        <v>426</v>
      </c>
      <c r="Q126" s="1923"/>
      <c r="R126" s="1922" t="s">
        <v>424</v>
      </c>
      <c r="S126" s="1923"/>
      <c r="T126" s="1922" t="s">
        <v>425</v>
      </c>
      <c r="U126" s="1927"/>
    </row>
    <row r="127" spans="1:21" ht="25.5" customHeight="1">
      <c r="B127" s="1916"/>
      <c r="C127" s="1919"/>
      <c r="D127" s="1239" t="s">
        <v>429</v>
      </c>
      <c r="E127" s="1238" t="s">
        <v>430</v>
      </c>
      <c r="F127" s="1238" t="s">
        <v>431</v>
      </c>
      <c r="G127" s="1237" t="s">
        <v>432</v>
      </c>
      <c r="H127" s="1236" t="s">
        <v>429</v>
      </c>
      <c r="I127" s="1238" t="s">
        <v>430</v>
      </c>
      <c r="J127" s="1238" t="s">
        <v>431</v>
      </c>
      <c r="K127" s="1237" t="s">
        <v>432</v>
      </c>
      <c r="L127" s="1235" t="s">
        <v>429</v>
      </c>
      <c r="M127" s="1238" t="s">
        <v>430</v>
      </c>
      <c r="N127" s="1238" t="s">
        <v>431</v>
      </c>
      <c r="O127" s="1234" t="s">
        <v>432</v>
      </c>
      <c r="P127" s="1928" t="s">
        <v>433</v>
      </c>
      <c r="Q127" s="1930" t="s">
        <v>434</v>
      </c>
      <c r="R127" s="1932" t="s">
        <v>435</v>
      </c>
      <c r="S127" s="1930" t="s">
        <v>434</v>
      </c>
      <c r="T127" s="1932" t="s">
        <v>435</v>
      </c>
      <c r="U127" s="1925" t="s">
        <v>441</v>
      </c>
    </row>
    <row r="128" spans="1:21" ht="25.5" customHeight="1" thickBot="1">
      <c r="B128" s="1917"/>
      <c r="C128" s="1920"/>
      <c r="D128" s="1233">
        <v>1</v>
      </c>
      <c r="E128" s="1232">
        <v>2</v>
      </c>
      <c r="F128" s="1232">
        <v>3</v>
      </c>
      <c r="G128" s="1231">
        <v>4</v>
      </c>
      <c r="H128" s="1230">
        <v>1</v>
      </c>
      <c r="I128" s="1232">
        <v>2</v>
      </c>
      <c r="J128" s="1232">
        <v>3</v>
      </c>
      <c r="K128" s="1231">
        <v>4</v>
      </c>
      <c r="L128" s="1229">
        <v>1</v>
      </c>
      <c r="M128" s="1232">
        <v>2</v>
      </c>
      <c r="N128" s="1232">
        <v>3</v>
      </c>
      <c r="O128" s="1232">
        <v>4</v>
      </c>
      <c r="P128" s="1929"/>
      <c r="Q128" s="1931"/>
      <c r="R128" s="1933"/>
      <c r="S128" s="1931"/>
      <c r="T128" s="1933"/>
      <c r="U128" s="1926"/>
    </row>
    <row r="129" spans="2:21" ht="25.5" customHeight="1">
      <c r="B129" s="1403">
        <v>1</v>
      </c>
      <c r="C129" s="1404"/>
      <c r="D129" s="1799"/>
      <c r="E129" s="1800"/>
      <c r="F129" s="1800"/>
      <c r="G129" s="1800"/>
      <c r="H129" s="1801"/>
      <c r="I129" s="1800"/>
      <c r="J129" s="1800"/>
      <c r="K129" s="1802"/>
      <c r="L129" s="1800"/>
      <c r="M129" s="1800"/>
      <c r="N129" s="1800"/>
      <c r="O129" s="1802"/>
      <c r="P129" s="1409" t="str">
        <f>IF(AND(D129="",E129="",F129="",G129=""),"",AVERAGE(D129:G129))</f>
        <v/>
      </c>
      <c r="Q129" s="1411" t="s">
        <v>437</v>
      </c>
      <c r="R129" s="1412" t="str">
        <f>IF(AND(H129="",I129="",J129="",K129=""),"",AVERAGE(H129:K129))</f>
        <v/>
      </c>
      <c r="S129" s="1411" t="s">
        <v>438</v>
      </c>
      <c r="T129" s="1412" t="str">
        <f>IF(AND(L129="",M129="",N129="",O129=""),"",AVERAGE(L129:O129))</f>
        <v/>
      </c>
      <c r="U129" s="1413" t="s">
        <v>437</v>
      </c>
    </row>
    <row r="130" spans="2:21" ht="25.5" customHeight="1">
      <c r="B130" s="1414">
        <v>2</v>
      </c>
      <c r="C130" s="1415"/>
      <c r="D130" s="1803"/>
      <c r="E130" s="1804"/>
      <c r="F130" s="1804"/>
      <c r="G130" s="1804"/>
      <c r="H130" s="1805"/>
      <c r="I130" s="1804"/>
      <c r="J130" s="1804"/>
      <c r="K130" s="1806"/>
      <c r="L130" s="1804"/>
      <c r="M130" s="1804"/>
      <c r="N130" s="1804"/>
      <c r="O130" s="1806"/>
      <c r="P130" s="1420" t="str">
        <f>IF(AND(D130="",E130="",F130="",G130=""),"",AVERAGE(D130:G130))</f>
        <v/>
      </c>
      <c r="Q130" s="1421"/>
      <c r="R130" s="1410" t="str">
        <f>IF(AND(H130="",I130="",J130="",K130=""),"",AVERAGE(H130:K130))</f>
        <v/>
      </c>
      <c r="S130" s="1421"/>
      <c r="T130" s="1410" t="str">
        <f>IF(AND(L130="",M130="",N130="",O130=""),"",AVERAGE(L130:O130))</f>
        <v/>
      </c>
      <c r="U130" s="1422"/>
    </row>
    <row r="131" spans="2:21" ht="25.5" customHeight="1">
      <c r="B131" s="1414">
        <v>3</v>
      </c>
      <c r="C131" s="1415"/>
      <c r="D131" s="1803"/>
      <c r="E131" s="1804"/>
      <c r="F131" s="1804"/>
      <c r="G131" s="1804"/>
      <c r="H131" s="1805"/>
      <c r="I131" s="1804"/>
      <c r="J131" s="1804"/>
      <c r="K131" s="1806"/>
      <c r="L131" s="1804"/>
      <c r="M131" s="1804"/>
      <c r="N131" s="1804"/>
      <c r="O131" s="1806"/>
      <c r="P131" s="1423" t="str">
        <f t="shared" ref="P131:P132" si="60">IF(AND(D131="",E131="",F131="",G131=""),"",AVERAGE(D131:G131))</f>
        <v/>
      </c>
      <c r="Q131" s="1424"/>
      <c r="R131" s="1425" t="str">
        <f t="shared" ref="R131:R132" si="61">IF(AND(H131="",I131="",J131="",K131=""),"",AVERAGE(H131:K131))</f>
        <v/>
      </c>
      <c r="S131" s="1424"/>
      <c r="T131" s="1425" t="str">
        <f>IF(AND(L131="",M131="",N131="",O131=""),"",AVERAGE(L131:O131))</f>
        <v/>
      </c>
      <c r="U131" s="1426"/>
    </row>
    <row r="132" spans="2:21" ht="25.5" customHeight="1">
      <c r="B132" s="1414">
        <v>4</v>
      </c>
      <c r="C132" s="1415"/>
      <c r="D132" s="1803"/>
      <c r="E132" s="1804"/>
      <c r="F132" s="1804"/>
      <c r="G132" s="1804"/>
      <c r="H132" s="1805"/>
      <c r="I132" s="1804"/>
      <c r="J132" s="1804"/>
      <c r="K132" s="1806"/>
      <c r="L132" s="1804"/>
      <c r="M132" s="1804"/>
      <c r="N132" s="1804"/>
      <c r="O132" s="1806"/>
      <c r="P132" s="1427" t="str">
        <f t="shared" si="60"/>
        <v/>
      </c>
      <c r="Q132" s="1424"/>
      <c r="R132" s="1428" t="str">
        <f t="shared" si="61"/>
        <v/>
      </c>
      <c r="S132" s="1424"/>
      <c r="T132" s="1428" t="str">
        <f t="shared" ref="T132" si="62">IF(AND(L132="",M132="",N132="",O132=""),"",AVERAGE(L132:O132))</f>
        <v/>
      </c>
      <c r="U132" s="1426"/>
    </row>
    <row r="133" spans="2:21" ht="25.5" customHeight="1" thickBot="1">
      <c r="B133" s="1429">
        <v>5</v>
      </c>
      <c r="C133" s="1430"/>
      <c r="D133" s="1807"/>
      <c r="E133" s="1808"/>
      <c r="F133" s="1808"/>
      <c r="G133" s="1808"/>
      <c r="H133" s="1809"/>
      <c r="I133" s="1808"/>
      <c r="J133" s="1808"/>
      <c r="K133" s="1810"/>
      <c r="L133" s="1808"/>
      <c r="M133" s="1808"/>
      <c r="N133" s="1808"/>
      <c r="O133" s="1810"/>
      <c r="P133" s="1435" t="str">
        <f>IF(AND(D133="",E133="",F133="",G133=""),"",AVERAGE(D133:G133))</f>
        <v/>
      </c>
      <c r="Q133" s="1436"/>
      <c r="R133" s="1437" t="str">
        <f>IF(AND(H133="",I133="",J133="",K133=""),"",AVERAGE(H133:K133))</f>
        <v/>
      </c>
      <c r="S133" s="1436"/>
      <c r="T133" s="1437" t="str">
        <f>IF(AND(L133="",M133="",N133="",O133=""),"",AVERAGE(L133:O133))</f>
        <v/>
      </c>
      <c r="U133" s="1438"/>
    </row>
    <row r="134" spans="2:21" ht="25.5" customHeight="1" thickTop="1">
      <c r="B134" s="1439">
        <v>6</v>
      </c>
      <c r="C134" s="1440" t="s">
        <v>294</v>
      </c>
      <c r="D134" s="1441"/>
      <c r="E134" s="1442"/>
      <c r="F134" s="1442"/>
      <c r="G134" s="1442"/>
      <c r="H134" s="1443"/>
      <c r="I134" s="1442"/>
      <c r="J134" s="1442"/>
      <c r="K134" s="1444"/>
      <c r="L134" s="1442"/>
      <c r="M134" s="1442"/>
      <c r="N134" s="1442"/>
      <c r="O134" s="1442"/>
      <c r="P134" s="1445" t="str">
        <f>IF(AND(D134="",E134="",F134="",G134=""),"",AVERAGE(D134:G134))</f>
        <v/>
      </c>
      <c r="Q134" s="1446">
        <f>P136*5/7</f>
        <v>5.9523809523809534</v>
      </c>
      <c r="R134" s="1447" t="str">
        <f>IF(AND(H134="",I134="",J134="",K134=""),"",AVERAGE(H134:K134))</f>
        <v/>
      </c>
      <c r="S134" s="1448">
        <f>R136*5/7</f>
        <v>107.61904761904761</v>
      </c>
      <c r="T134" s="1412" t="str">
        <f>IF(AND(L134="",M134="",N134="",O134=""),"",AVERAGE(L134:O134))</f>
        <v/>
      </c>
      <c r="U134" s="1449">
        <f>T136*5/7</f>
        <v>0.7142857142857143</v>
      </c>
    </row>
    <row r="135" spans="2:21" ht="25.5" customHeight="1">
      <c r="B135" s="1414">
        <v>7</v>
      </c>
      <c r="C135" s="1415"/>
      <c r="D135" s="1416"/>
      <c r="E135" s="1417"/>
      <c r="F135" s="1417"/>
      <c r="G135" s="1417"/>
      <c r="H135" s="1418"/>
      <c r="I135" s="1417"/>
      <c r="J135" s="1417"/>
      <c r="K135" s="1419"/>
      <c r="L135" s="1417"/>
      <c r="M135" s="1417"/>
      <c r="N135" s="1417"/>
      <c r="O135" s="1417"/>
      <c r="P135" s="1420" t="str">
        <f>IF(AND(D135="",E135="",F135="",G135=""),"",AVERAGE(D135:G135))</f>
        <v/>
      </c>
      <c r="Q135" s="1421"/>
      <c r="R135" s="1410" t="str">
        <f>IF(AND(H135="",I135="",J135="",K135=""),"",AVERAGE(H135:K135))</f>
        <v/>
      </c>
      <c r="S135" s="1421"/>
      <c r="T135" s="1410" t="str">
        <f>IF(AND(L135="",M135="",N135="",O135=""),"",AVERAGE(L135:O135))</f>
        <v/>
      </c>
      <c r="U135" s="1422"/>
    </row>
    <row r="136" spans="2:21" ht="25.5" customHeight="1">
      <c r="B136" s="1414">
        <v>8</v>
      </c>
      <c r="C136" s="1415"/>
      <c r="D136" s="1416">
        <v>2</v>
      </c>
      <c r="E136" s="1417">
        <v>15</v>
      </c>
      <c r="F136" s="1417">
        <v>8</v>
      </c>
      <c r="G136" s="1417"/>
      <c r="H136" s="1418">
        <v>190</v>
      </c>
      <c r="I136" s="1417">
        <v>180</v>
      </c>
      <c r="J136" s="1417">
        <v>82</v>
      </c>
      <c r="K136" s="1419"/>
      <c r="L136" s="1417">
        <v>2</v>
      </c>
      <c r="M136" s="1417">
        <v>1</v>
      </c>
      <c r="N136" s="1417">
        <v>0</v>
      </c>
      <c r="O136" s="1417"/>
      <c r="P136" s="1423">
        <f t="shared" ref="P136:P137" si="63">IF(AND(D136="",E136="",F136="",G136=""),"",AVERAGE(D136:G136))</f>
        <v>8.3333333333333339</v>
      </c>
      <c r="Q136" s="1424"/>
      <c r="R136" s="1425">
        <f t="shared" ref="R136:R137" si="64">IF(AND(H136="",I136="",J136="",K136=""),"",AVERAGE(H136:K136))</f>
        <v>150.66666666666666</v>
      </c>
      <c r="S136" s="1424"/>
      <c r="T136" s="1425">
        <f>IF(AND(L136="",M136="",N136="",O136=""),"",AVERAGE(L136:O136))</f>
        <v>1</v>
      </c>
      <c r="U136" s="1426"/>
    </row>
    <row r="137" spans="2:21" ht="25.5" customHeight="1">
      <c r="B137" s="1414">
        <v>9</v>
      </c>
      <c r="C137" s="1415"/>
      <c r="D137" s="1416"/>
      <c r="E137" s="1417"/>
      <c r="F137" s="1417"/>
      <c r="G137" s="1417"/>
      <c r="H137" s="1418"/>
      <c r="I137" s="1417"/>
      <c r="J137" s="1417"/>
      <c r="K137" s="1419"/>
      <c r="L137" s="1417"/>
      <c r="M137" s="1417"/>
      <c r="N137" s="1417"/>
      <c r="O137" s="1450"/>
      <c r="P137" s="1427" t="str">
        <f t="shared" si="63"/>
        <v/>
      </c>
      <c r="Q137" s="1424"/>
      <c r="R137" s="1428" t="str">
        <f t="shared" si="64"/>
        <v/>
      </c>
      <c r="S137" s="1424"/>
      <c r="T137" s="1428" t="str">
        <f t="shared" ref="T137" si="65">IF(AND(L137="",M137="",N137="",O137=""),"",AVERAGE(L137:O137))</f>
        <v/>
      </c>
      <c r="U137" s="1426"/>
    </row>
    <row r="138" spans="2:21" ht="25.5" customHeight="1" thickBot="1">
      <c r="B138" s="1451">
        <v>10</v>
      </c>
      <c r="C138" s="1452"/>
      <c r="D138" s="1453"/>
      <c r="E138" s="1454"/>
      <c r="F138" s="1454"/>
      <c r="G138" s="1454"/>
      <c r="H138" s="1455"/>
      <c r="I138" s="1454"/>
      <c r="J138" s="1454"/>
      <c r="K138" s="1456"/>
      <c r="L138" s="1454"/>
      <c r="M138" s="1454"/>
      <c r="N138" s="1454"/>
      <c r="O138" s="1454"/>
      <c r="P138" s="1435" t="str">
        <f>IF(AND(D138="",E138="",F138="",G138=""),"",AVERAGE(D138:G138))</f>
        <v/>
      </c>
      <c r="Q138" s="1436"/>
      <c r="R138" s="1437" t="str">
        <f>IF(AND(H138="",I138="",J138="",K138=""),"",AVERAGE(H138:K138))</f>
        <v/>
      </c>
      <c r="S138" s="1436"/>
      <c r="T138" s="1437" t="str">
        <f>IF(AND(L138="",M138="",N138="",O138=""),"",AVERAGE(L138:O138))</f>
        <v/>
      </c>
      <c r="U138" s="1438"/>
    </row>
    <row r="139" spans="2:21" ht="25.5" customHeight="1" thickTop="1">
      <c r="B139" s="1403">
        <v>11</v>
      </c>
      <c r="C139" s="1404" t="s">
        <v>295</v>
      </c>
      <c r="D139" s="1405">
        <v>0</v>
      </c>
      <c r="E139" s="1406">
        <v>1</v>
      </c>
      <c r="F139" s="1406">
        <v>0</v>
      </c>
      <c r="G139" s="1406">
        <v>3</v>
      </c>
      <c r="H139" s="1407">
        <v>29</v>
      </c>
      <c r="I139" s="1406">
        <v>24</v>
      </c>
      <c r="J139" s="1406">
        <v>19</v>
      </c>
      <c r="K139" s="1408">
        <v>19</v>
      </c>
      <c r="L139" s="1406">
        <v>0</v>
      </c>
      <c r="M139" s="1406">
        <v>2</v>
      </c>
      <c r="N139" s="1406">
        <v>2</v>
      </c>
      <c r="O139" s="1406">
        <v>1</v>
      </c>
      <c r="P139" s="1445">
        <f>IF(AND(D139="",E139="",F139="",G139=""),"",AVERAGE(D139:G139))</f>
        <v>1</v>
      </c>
      <c r="Q139" s="1446">
        <f>P139*5/3</f>
        <v>1.6666666666666667</v>
      </c>
      <c r="R139" s="1447">
        <f>IF(AND(H139="",I139="",J139="",K139=""),"",AVERAGE(H139:K139))</f>
        <v>22.75</v>
      </c>
      <c r="S139" s="1448">
        <f>R139*5/3</f>
        <v>37.916666666666664</v>
      </c>
      <c r="T139" s="1412">
        <f>IF(AND(L139="",M139="",N139="",O139=""),"",AVERAGE(L139:O139))</f>
        <v>1.25</v>
      </c>
      <c r="U139" s="1449">
        <f>T139*5/3</f>
        <v>2.0833333333333335</v>
      </c>
    </row>
    <row r="140" spans="2:21" ht="25.5" customHeight="1">
      <c r="B140" s="1414">
        <v>12</v>
      </c>
      <c r="C140" s="1415"/>
      <c r="D140" s="1416"/>
      <c r="E140" s="1417"/>
      <c r="F140" s="1417"/>
      <c r="G140" s="1417"/>
      <c r="H140" s="1418"/>
      <c r="I140" s="1417"/>
      <c r="J140" s="1417"/>
      <c r="K140" s="1419"/>
      <c r="L140" s="1417"/>
      <c r="M140" s="1417"/>
      <c r="N140" s="1417"/>
      <c r="O140" s="1417"/>
      <c r="P140" s="1420" t="str">
        <f>IF(AND(D140="",E140="",F140="",G140=""),"",AVERAGE(D140:G140))</f>
        <v/>
      </c>
      <c r="Q140" s="1421"/>
      <c r="R140" s="1410" t="str">
        <f>IF(AND(H140="",I140="",J140="",K140=""),"",AVERAGE(H140:K140))</f>
        <v/>
      </c>
      <c r="S140" s="1421"/>
      <c r="T140" s="1410" t="str">
        <f>IF(AND(L140="",M140="",N140="",O140=""),"",AVERAGE(L140:O140))</f>
        <v/>
      </c>
      <c r="U140" s="1422"/>
    </row>
    <row r="141" spans="2:21" ht="25.5" customHeight="1">
      <c r="B141" s="1414">
        <v>13</v>
      </c>
      <c r="C141" s="1415"/>
      <c r="D141" s="1416"/>
      <c r="E141" s="1417"/>
      <c r="F141" s="1417"/>
      <c r="G141" s="1417"/>
      <c r="H141" s="1418"/>
      <c r="I141" s="1417"/>
      <c r="J141" s="1417"/>
      <c r="K141" s="1419"/>
      <c r="L141" s="1417"/>
      <c r="M141" s="1417"/>
      <c r="N141" s="1417"/>
      <c r="O141" s="1417"/>
      <c r="P141" s="1423" t="str">
        <f t="shared" ref="P141:P142" si="66">IF(AND(D141="",E141="",F141="",G141=""),"",AVERAGE(D141:G141))</f>
        <v/>
      </c>
      <c r="Q141" s="1424"/>
      <c r="R141" s="1425" t="str">
        <f t="shared" ref="R141:R142" si="67">IF(AND(H141="",I141="",J141="",K141=""),"",AVERAGE(H141:K141))</f>
        <v/>
      </c>
      <c r="S141" s="1424"/>
      <c r="T141" s="1425" t="str">
        <f>IF(AND(L141="",M141="",N141="",O141=""),"",AVERAGE(L141:O141))</f>
        <v/>
      </c>
      <c r="U141" s="1426"/>
    </row>
    <row r="142" spans="2:21" ht="25.5" customHeight="1">
      <c r="B142" s="1414">
        <v>14</v>
      </c>
      <c r="C142" s="1415"/>
      <c r="D142" s="1416"/>
      <c r="E142" s="1417"/>
      <c r="F142" s="1417"/>
      <c r="G142" s="1417"/>
      <c r="H142" s="1418"/>
      <c r="I142" s="1417"/>
      <c r="J142" s="1417"/>
      <c r="K142" s="1419"/>
      <c r="L142" s="1417"/>
      <c r="M142" s="1417"/>
      <c r="N142" s="1417"/>
      <c r="O142" s="1417"/>
      <c r="P142" s="1427" t="str">
        <f t="shared" si="66"/>
        <v/>
      </c>
      <c r="Q142" s="1424"/>
      <c r="R142" s="1428" t="str">
        <f t="shared" si="67"/>
        <v/>
      </c>
      <c r="S142" s="1424"/>
      <c r="T142" s="1428" t="str">
        <f t="shared" ref="T142" si="68">IF(AND(L142="",M142="",N142="",O142=""),"",AVERAGE(L142:O142))</f>
        <v/>
      </c>
      <c r="U142" s="1426"/>
    </row>
    <row r="143" spans="2:21" ht="25.5" customHeight="1" thickBot="1">
      <c r="B143" s="1429">
        <v>15</v>
      </c>
      <c r="C143" s="1430"/>
      <c r="D143" s="1431"/>
      <c r="E143" s="1432"/>
      <c r="F143" s="1432"/>
      <c r="G143" s="1432"/>
      <c r="H143" s="1433"/>
      <c r="I143" s="1432"/>
      <c r="J143" s="1432"/>
      <c r="K143" s="1434"/>
      <c r="L143" s="1432"/>
      <c r="M143" s="1432"/>
      <c r="N143" s="1432"/>
      <c r="O143" s="1432"/>
      <c r="P143" s="1435" t="str">
        <f>IF(AND(D143="",E143="",F143="",G143=""),"",AVERAGE(D143:G143))</f>
        <v/>
      </c>
      <c r="Q143" s="1436"/>
      <c r="R143" s="1437" t="str">
        <f>IF(AND(H143="",I143="",J143="",K143=""),"",AVERAGE(H143:K143))</f>
        <v/>
      </c>
      <c r="S143" s="1436"/>
      <c r="T143" s="1437" t="str">
        <f>IF(AND(L143="",M143="",N143="",O143=""),"",AVERAGE(L143:O143))</f>
        <v/>
      </c>
      <c r="U143" s="1438"/>
    </row>
    <row r="144" spans="2:21" ht="25.5" customHeight="1" thickTop="1">
      <c r="B144" s="1439">
        <v>16</v>
      </c>
      <c r="C144" s="1440" t="s">
        <v>296</v>
      </c>
      <c r="D144" s="1441">
        <v>2</v>
      </c>
      <c r="E144" s="1442">
        <v>3</v>
      </c>
      <c r="F144" s="1442">
        <v>1</v>
      </c>
      <c r="G144" s="1824">
        <v>0.8</v>
      </c>
      <c r="H144" s="1443">
        <v>128</v>
      </c>
      <c r="I144" s="1442">
        <v>63</v>
      </c>
      <c r="J144" s="1442">
        <v>45</v>
      </c>
      <c r="K144" s="1825">
        <v>84</v>
      </c>
      <c r="L144" s="1442">
        <v>3</v>
      </c>
      <c r="M144" s="1442">
        <v>1</v>
      </c>
      <c r="N144" s="1442">
        <v>3</v>
      </c>
      <c r="O144" s="1824">
        <v>0.8</v>
      </c>
      <c r="P144" s="1445">
        <f>IF(AND(D144="",E144="",F144="",G144=""),"",AVERAGE(D144:G144))</f>
        <v>1.7</v>
      </c>
      <c r="Q144" s="1446">
        <f>P144</f>
        <v>1.7</v>
      </c>
      <c r="R144" s="1447">
        <f>IF(AND(H144="",I144="",J144="",K144=""),"",AVERAGE(H144:K144))</f>
        <v>80</v>
      </c>
      <c r="S144" s="1448">
        <f>R144</f>
        <v>80</v>
      </c>
      <c r="T144" s="1412">
        <f>IF(AND(L144="",M144="",N144="",O144=""),"",AVERAGE(L144:O144))</f>
        <v>1.95</v>
      </c>
      <c r="U144" s="1449">
        <f>T144</f>
        <v>1.95</v>
      </c>
    </row>
    <row r="145" spans="2:21" ht="25.5" customHeight="1">
      <c r="B145" s="1414">
        <v>17</v>
      </c>
      <c r="C145" s="1415"/>
      <c r="D145" s="1416"/>
      <c r="E145" s="1417"/>
      <c r="F145" s="1417"/>
      <c r="G145" s="1417"/>
      <c r="H145" s="1418"/>
      <c r="I145" s="1417"/>
      <c r="J145" s="1417"/>
      <c r="K145" s="1419"/>
      <c r="L145" s="1417"/>
      <c r="M145" s="1417"/>
      <c r="N145" s="1417"/>
      <c r="O145" s="1417"/>
      <c r="P145" s="1420" t="str">
        <f>IF(AND(D145="",E145="",F145="",G145=""),"",AVERAGE(D145:G145))</f>
        <v/>
      </c>
      <c r="Q145" s="1421"/>
      <c r="R145" s="1410" t="str">
        <f>IF(AND(H145="",I145="",J145="",K145=""),"",AVERAGE(H145:K145))</f>
        <v/>
      </c>
      <c r="S145" s="1421"/>
      <c r="T145" s="1410" t="str">
        <f>IF(AND(L145="",M145="",N145="",O145=""),"",AVERAGE(L145:O145))</f>
        <v/>
      </c>
      <c r="U145" s="1422"/>
    </row>
    <row r="146" spans="2:21" ht="25.5" customHeight="1">
      <c r="B146" s="1414">
        <v>18</v>
      </c>
      <c r="C146" s="1415"/>
      <c r="D146" s="1416"/>
      <c r="E146" s="1417"/>
      <c r="F146" s="1417"/>
      <c r="G146" s="1417"/>
      <c r="H146" s="1418"/>
      <c r="I146" s="1417"/>
      <c r="J146" s="1417"/>
      <c r="K146" s="1419"/>
      <c r="L146" s="1417"/>
      <c r="M146" s="1417"/>
      <c r="N146" s="1417"/>
      <c r="O146" s="1417"/>
      <c r="P146" s="1423" t="str">
        <f t="shared" ref="P146:P147" si="69">IF(AND(D146="",E146="",F146="",G146=""),"",AVERAGE(D146:G146))</f>
        <v/>
      </c>
      <c r="Q146" s="1424"/>
      <c r="R146" s="1425" t="str">
        <f t="shared" ref="R146:R147" si="70">IF(AND(H146="",I146="",J146="",K146=""),"",AVERAGE(H146:K146))</f>
        <v/>
      </c>
      <c r="S146" s="1424"/>
      <c r="T146" s="1425" t="str">
        <f>IF(AND(L146="",M146="",N146="",O146=""),"",AVERAGE(L146:O146))</f>
        <v/>
      </c>
      <c r="U146" s="1426"/>
    </row>
    <row r="147" spans="2:21" ht="25.5" customHeight="1">
      <c r="B147" s="1414">
        <v>19</v>
      </c>
      <c r="C147" s="1415"/>
      <c r="D147" s="1416"/>
      <c r="E147" s="1417"/>
      <c r="F147" s="1417"/>
      <c r="G147" s="1417"/>
      <c r="H147" s="1418"/>
      <c r="I147" s="1417"/>
      <c r="J147" s="1417"/>
      <c r="K147" s="1419"/>
      <c r="L147" s="1417"/>
      <c r="M147" s="1417"/>
      <c r="N147" s="1417"/>
      <c r="O147" s="1417"/>
      <c r="P147" s="1427" t="str">
        <f t="shared" si="69"/>
        <v/>
      </c>
      <c r="Q147" s="1424"/>
      <c r="R147" s="1428" t="str">
        <f t="shared" si="70"/>
        <v/>
      </c>
      <c r="S147" s="1424"/>
      <c r="T147" s="1428" t="str">
        <f t="shared" ref="T147" si="71">IF(AND(L147="",M147="",N147="",O147=""),"",AVERAGE(L147:O147))</f>
        <v/>
      </c>
      <c r="U147" s="1426"/>
    </row>
    <row r="148" spans="2:21" ht="25.5" customHeight="1" thickBot="1">
      <c r="B148" s="1451">
        <v>20</v>
      </c>
      <c r="C148" s="1452"/>
      <c r="D148" s="1453"/>
      <c r="E148" s="1454"/>
      <c r="F148" s="1454"/>
      <c r="G148" s="1454"/>
      <c r="H148" s="1455"/>
      <c r="I148" s="1454"/>
      <c r="J148" s="1454"/>
      <c r="K148" s="1456"/>
      <c r="L148" s="1454"/>
      <c r="M148" s="1454"/>
      <c r="N148" s="1454"/>
      <c r="O148" s="1454"/>
      <c r="P148" s="1435" t="str">
        <f>IF(AND(D148="",E148="",F148="",G148=""),"",AVERAGE(D148:G148))</f>
        <v/>
      </c>
      <c r="Q148" s="1436"/>
      <c r="R148" s="1437" t="str">
        <f>IF(AND(H148="",I148="",J148="",K148=""),"",AVERAGE(H148:K148))</f>
        <v/>
      </c>
      <c r="S148" s="1436"/>
      <c r="T148" s="1437" t="str">
        <f>IF(AND(L148="",M148="",N148="",O148=""),"",AVERAGE(L148:O148))</f>
        <v/>
      </c>
      <c r="U148" s="1438"/>
    </row>
    <row r="149" spans="2:21" ht="25.5" customHeight="1" thickTop="1">
      <c r="B149" s="1403">
        <v>21</v>
      </c>
      <c r="C149" s="1404" t="s">
        <v>297</v>
      </c>
      <c r="D149" s="1405"/>
      <c r="E149" s="1406"/>
      <c r="F149" s="1406"/>
      <c r="G149" s="1406"/>
      <c r="H149" s="1407"/>
      <c r="I149" s="1406"/>
      <c r="J149" s="1406"/>
      <c r="K149" s="1408"/>
      <c r="L149" s="1406"/>
      <c r="M149" s="1406"/>
      <c r="N149" s="1406"/>
      <c r="O149" s="1406"/>
      <c r="P149" s="1445" t="str">
        <f>IF(AND(D149="",E149="",F149="",G149=""),"",AVERAGE(D149:G149))</f>
        <v/>
      </c>
      <c r="Q149" s="1446">
        <f>P150*5/6</f>
        <v>10.833333333333334</v>
      </c>
      <c r="R149" s="1447" t="str">
        <f>IF(AND(H149="",I149="",J149="",K149=""),"",AVERAGE(H149:K149))</f>
        <v/>
      </c>
      <c r="S149" s="1448">
        <f>R150*5/6</f>
        <v>54.375</v>
      </c>
      <c r="T149" s="1412" t="str">
        <f>IF(AND(L149="",M149="",N149="",O149=""),"",AVERAGE(L149:O149))</f>
        <v/>
      </c>
      <c r="U149" s="1449">
        <f>T150*5/6</f>
        <v>0.41666666666666669</v>
      </c>
    </row>
    <row r="150" spans="2:21" ht="25.5" customHeight="1">
      <c r="B150" s="1414">
        <v>22</v>
      </c>
      <c r="C150" s="1415"/>
      <c r="D150" s="1416">
        <v>14</v>
      </c>
      <c r="E150" s="1417">
        <v>13</v>
      </c>
      <c r="F150" s="1417">
        <v>10</v>
      </c>
      <c r="G150" s="1417">
        <v>15</v>
      </c>
      <c r="H150" s="1418">
        <v>74</v>
      </c>
      <c r="I150" s="1417">
        <v>64</v>
      </c>
      <c r="J150" s="1417">
        <v>41</v>
      </c>
      <c r="K150" s="1419">
        <v>82</v>
      </c>
      <c r="L150" s="1417">
        <v>1</v>
      </c>
      <c r="M150" s="1417">
        <v>0</v>
      </c>
      <c r="N150" s="1417">
        <v>0</v>
      </c>
      <c r="O150" s="1417">
        <v>1</v>
      </c>
      <c r="P150" s="1420">
        <f>IF(AND(D150="",E150="",F150="",G150=""),"",AVERAGE(D150:G150))</f>
        <v>13</v>
      </c>
      <c r="Q150" s="1421"/>
      <c r="R150" s="1410">
        <f>IF(AND(H150="",I150="",J150="",K150=""),"",AVERAGE(H150:K150))</f>
        <v>65.25</v>
      </c>
      <c r="S150" s="1421"/>
      <c r="T150" s="1410">
        <f>IF(AND(L150="",M150="",N150="",O150=""),"",AVERAGE(L150:O150))</f>
        <v>0.5</v>
      </c>
      <c r="U150" s="1422"/>
    </row>
    <row r="151" spans="2:21" ht="25.5" customHeight="1">
      <c r="B151" s="1414">
        <v>23</v>
      </c>
      <c r="C151" s="1415"/>
      <c r="D151" s="1416"/>
      <c r="E151" s="1417"/>
      <c r="F151" s="1417"/>
      <c r="G151" s="1417"/>
      <c r="H151" s="1418"/>
      <c r="I151" s="1417"/>
      <c r="J151" s="1417"/>
      <c r="K151" s="1419"/>
      <c r="L151" s="1417"/>
      <c r="M151" s="1417"/>
      <c r="N151" s="1417"/>
      <c r="O151" s="1417"/>
      <c r="P151" s="1423" t="str">
        <f t="shared" ref="P151:P152" si="72">IF(AND(D151="",E151="",F151="",G151=""),"",AVERAGE(D151:G151))</f>
        <v/>
      </c>
      <c r="Q151" s="1424"/>
      <c r="R151" s="1425" t="str">
        <f t="shared" ref="R151:R152" si="73">IF(AND(H151="",I151="",J151="",K151=""),"",AVERAGE(H151:K151))</f>
        <v/>
      </c>
      <c r="S151" s="1424"/>
      <c r="T151" s="1425" t="str">
        <f>IF(AND(L151="",M151="",N151="",O151=""),"",AVERAGE(L151:O151))</f>
        <v/>
      </c>
      <c r="U151" s="1426"/>
    </row>
    <row r="152" spans="2:21" ht="25.5" customHeight="1">
      <c r="B152" s="1414">
        <v>24</v>
      </c>
      <c r="C152" s="1415"/>
      <c r="D152" s="1416"/>
      <c r="E152" s="1417"/>
      <c r="F152" s="1417"/>
      <c r="G152" s="1417"/>
      <c r="H152" s="1418"/>
      <c r="I152" s="1417"/>
      <c r="J152" s="1417"/>
      <c r="K152" s="1419"/>
      <c r="L152" s="1417"/>
      <c r="M152" s="1417"/>
      <c r="N152" s="1417"/>
      <c r="O152" s="1417"/>
      <c r="P152" s="1427" t="str">
        <f t="shared" si="72"/>
        <v/>
      </c>
      <c r="Q152" s="1424"/>
      <c r="R152" s="1428" t="str">
        <f t="shared" si="73"/>
        <v/>
      </c>
      <c r="S152" s="1424"/>
      <c r="T152" s="1428" t="str">
        <f t="shared" ref="T152" si="74">IF(AND(L152="",M152="",N152="",O152=""),"",AVERAGE(L152:O152))</f>
        <v/>
      </c>
      <c r="U152" s="1426"/>
    </row>
    <row r="153" spans="2:21" ht="25.5" customHeight="1" thickBot="1">
      <c r="B153" s="1429">
        <v>25</v>
      </c>
      <c r="C153" s="1430"/>
      <c r="D153" s="1431"/>
      <c r="E153" s="1432"/>
      <c r="F153" s="1432"/>
      <c r="G153" s="1432"/>
      <c r="H153" s="1433"/>
      <c r="I153" s="1432"/>
      <c r="J153" s="1432"/>
      <c r="K153" s="1434"/>
      <c r="L153" s="1432"/>
      <c r="M153" s="1432"/>
      <c r="N153" s="1432"/>
      <c r="O153" s="1432"/>
      <c r="P153" s="1435" t="str">
        <f>IF(AND(D153="",E153="",F153="",G153=""),"",AVERAGE(D153:G153))</f>
        <v/>
      </c>
      <c r="Q153" s="1436"/>
      <c r="R153" s="1437" t="str">
        <f>IF(AND(H153="",I153="",J153="",K153=""),"",AVERAGE(H153:K153))</f>
        <v/>
      </c>
      <c r="S153" s="1436"/>
      <c r="T153" s="1437" t="str">
        <f>IF(AND(L153="",M153="",N153="",O153=""),"",AVERAGE(L153:O153))</f>
        <v/>
      </c>
      <c r="U153" s="1438"/>
    </row>
    <row r="154" spans="2:21" ht="25.5" customHeight="1" thickTop="1">
      <c r="B154" s="1439">
        <v>26</v>
      </c>
      <c r="C154" s="1440" t="s">
        <v>298</v>
      </c>
      <c r="D154" s="1441"/>
      <c r="E154" s="1442"/>
      <c r="F154" s="1442"/>
      <c r="G154" s="1442"/>
      <c r="H154" s="1443"/>
      <c r="I154" s="1442"/>
      <c r="J154" s="1442"/>
      <c r="K154" s="1444"/>
      <c r="L154" s="1442"/>
      <c r="M154" s="1442"/>
      <c r="N154" s="1442"/>
      <c r="O154" s="1442"/>
      <c r="P154" s="1445" t="str">
        <f>IF(AND(D154="",E154="",F154="",G154=""),"",AVERAGE(D154:G154))</f>
        <v/>
      </c>
      <c r="Q154" s="1446" t="e">
        <v>#N/A</v>
      </c>
      <c r="R154" s="1447" t="str">
        <f>IF(AND(H154="",I154="",J154="",K154=""),"",AVERAGE(H154:K154))</f>
        <v/>
      </c>
      <c r="S154" s="1448" t="e">
        <v>#N/A</v>
      </c>
      <c r="T154" s="1412" t="str">
        <f>IF(AND(L154="",M154="",N154="",O154=""),"",AVERAGE(L154:O154))</f>
        <v/>
      </c>
      <c r="U154" s="1449" t="e">
        <v>#N/A</v>
      </c>
    </row>
    <row r="155" spans="2:21" ht="25.5" customHeight="1">
      <c r="B155" s="1414">
        <v>27</v>
      </c>
      <c r="C155" s="1415"/>
      <c r="D155" s="1416"/>
      <c r="E155" s="1417"/>
      <c r="F155" s="1417"/>
      <c r="G155" s="1417"/>
      <c r="H155" s="1418"/>
      <c r="I155" s="1417"/>
      <c r="J155" s="1417"/>
      <c r="K155" s="1419"/>
      <c r="L155" s="1417"/>
      <c r="M155" s="1417"/>
      <c r="N155" s="1417"/>
      <c r="O155" s="1417"/>
      <c r="P155" s="1420" t="str">
        <f>IF(AND(D155="",E155="",F155="",G155=""),"",AVERAGE(D155:G155))</f>
        <v/>
      </c>
      <c r="Q155" s="1421"/>
      <c r="R155" s="1410" t="str">
        <f>IF(AND(H155="",I155="",J155="",K155=""),"",AVERAGE(H155:K155))</f>
        <v/>
      </c>
      <c r="S155" s="1421"/>
      <c r="T155" s="1410" t="str">
        <f>IF(AND(L155="",M155="",N155="",O155=""),"",AVERAGE(L155:O155))</f>
        <v/>
      </c>
      <c r="U155" s="1422"/>
    </row>
    <row r="156" spans="2:21" ht="25.5" customHeight="1">
      <c r="B156" s="1414">
        <v>28</v>
      </c>
      <c r="C156" s="1415"/>
      <c r="D156" s="1416"/>
      <c r="E156" s="1417"/>
      <c r="F156" s="1417"/>
      <c r="G156" s="1417"/>
      <c r="H156" s="1418"/>
      <c r="I156" s="1417"/>
      <c r="J156" s="1417"/>
      <c r="K156" s="1419"/>
      <c r="L156" s="1417"/>
      <c r="M156" s="1417"/>
      <c r="N156" s="1417"/>
      <c r="O156" s="1417"/>
      <c r="P156" s="1423" t="str">
        <f t="shared" ref="P156:P157" si="75">IF(AND(D156="",E156="",F156="",G156=""),"",AVERAGE(D156:G156))</f>
        <v/>
      </c>
      <c r="Q156" s="1424"/>
      <c r="R156" s="1425" t="str">
        <f t="shared" ref="R156:R157" si="76">IF(AND(H156="",I156="",J156="",K156=""),"",AVERAGE(H156:K156))</f>
        <v/>
      </c>
      <c r="S156" s="1424"/>
      <c r="T156" s="1425" t="str">
        <f>IF(AND(L156="",M156="",N156="",O156=""),"",AVERAGE(L156:O156))</f>
        <v/>
      </c>
      <c r="U156" s="1426"/>
    </row>
    <row r="157" spans="2:21" ht="25.5" customHeight="1">
      <c r="B157" s="1414">
        <v>29</v>
      </c>
      <c r="C157" s="1415"/>
      <c r="D157" s="1416"/>
      <c r="E157" s="1417"/>
      <c r="F157" s="1417"/>
      <c r="G157" s="1417"/>
      <c r="H157" s="1418"/>
      <c r="I157" s="1417"/>
      <c r="J157" s="1417"/>
      <c r="K157" s="1419"/>
      <c r="L157" s="1417"/>
      <c r="M157" s="1417"/>
      <c r="N157" s="1417"/>
      <c r="O157" s="1417"/>
      <c r="P157" s="1427" t="str">
        <f t="shared" si="75"/>
        <v/>
      </c>
      <c r="Q157" s="1424"/>
      <c r="R157" s="1428" t="str">
        <f t="shared" si="76"/>
        <v/>
      </c>
      <c r="S157" s="1424"/>
      <c r="T157" s="1428" t="str">
        <f t="shared" ref="T157" si="77">IF(AND(L157="",M157="",N157="",O157=""),"",AVERAGE(L157:O157))</f>
        <v/>
      </c>
      <c r="U157" s="1426"/>
    </row>
    <row r="158" spans="2:21" ht="25.5" customHeight="1">
      <c r="B158" s="1414">
        <v>30</v>
      </c>
      <c r="C158" s="1415"/>
      <c r="D158" s="1416"/>
      <c r="E158" s="1417"/>
      <c r="F158" s="1417"/>
      <c r="G158" s="1417"/>
      <c r="H158" s="1418"/>
      <c r="I158" s="1417"/>
      <c r="J158" s="1417"/>
      <c r="K158" s="1419"/>
      <c r="L158" s="1417"/>
      <c r="M158" s="1417"/>
      <c r="N158" s="1417"/>
      <c r="O158" s="1417"/>
      <c r="P158" s="1427" t="str">
        <f>IF(AND(D158="",E158="",F158="",G158=""),"",AVERAGE(D158:G158))</f>
        <v/>
      </c>
      <c r="Q158" s="1424"/>
      <c r="R158" s="1428" t="str">
        <f>IF(AND(H158="",I158="",J158="",K158=""),"",AVERAGE(H158:K158))</f>
        <v/>
      </c>
      <c r="S158" s="1424"/>
      <c r="T158" s="1428" t="str">
        <f>IF(AND(L158="",M158="",N158="",O158=""),"",AVERAGE(L158:O158))</f>
        <v/>
      </c>
      <c r="U158" s="1457"/>
    </row>
    <row r="159" spans="2:21" ht="25.5" customHeight="1" thickBot="1">
      <c r="B159" s="1451">
        <v>31</v>
      </c>
      <c r="C159" s="1452"/>
      <c r="D159" s="1453"/>
      <c r="E159" s="1454"/>
      <c r="F159" s="1454"/>
      <c r="G159" s="1454"/>
      <c r="H159" s="1455"/>
      <c r="I159" s="1454"/>
      <c r="J159" s="1454"/>
      <c r="K159" s="1456"/>
      <c r="L159" s="1454"/>
      <c r="M159" s="1454"/>
      <c r="N159" s="1454"/>
      <c r="O159" s="1454"/>
      <c r="P159" s="1427" t="str">
        <f>IF(AND(D159="",E159="",F159="",G159=""),"",AVERAGE(D159:G159))</f>
        <v/>
      </c>
      <c r="Q159" s="1458"/>
      <c r="R159" s="1435" t="str">
        <f>IF(AND(H159="",I159="",J159="",K159=""),"",AVERAGE(H159:K159))</f>
        <v/>
      </c>
      <c r="S159" s="1458"/>
      <c r="T159" s="1435" t="str">
        <f>IF(AND(L159="",M159="",N159="",O159=""),"",AVERAGE(L159:O159))</f>
        <v/>
      </c>
      <c r="U159" s="1731"/>
    </row>
    <row r="160" spans="2:21" ht="25.5" customHeight="1" thickTop="1">
      <c r="B160" s="1403">
        <v>1</v>
      </c>
      <c r="C160" s="1404"/>
      <c r="D160" s="1405"/>
      <c r="E160" s="1406"/>
      <c r="F160" s="1406"/>
      <c r="G160" s="1406"/>
      <c r="H160" s="1407"/>
      <c r="I160" s="1406"/>
      <c r="J160" s="1406"/>
      <c r="K160" s="1408"/>
      <c r="L160" s="1406"/>
      <c r="M160" s="1406"/>
      <c r="N160" s="1406"/>
      <c r="O160" s="1406"/>
      <c r="P160" s="1445" t="str">
        <f>IF(AND(D160="",E160="",F160="",G160=""),"",AVERAGE(D160:G160))</f>
        <v/>
      </c>
      <c r="Q160" s="1725" t="e">
        <v>#N/A</v>
      </c>
      <c r="R160" s="1412" t="str">
        <f>IF(AND(H160="",I160="",J160="",K160=""),"",AVERAGE(H160:K160))</f>
        <v/>
      </c>
      <c r="S160" s="1725" t="e">
        <v>#N/A</v>
      </c>
      <c r="T160" s="1412" t="str">
        <f>IF(AND(L160="",M160="",N160="",O160=""),"",AVERAGE(L160:O160))</f>
        <v/>
      </c>
      <c r="U160" s="1729" t="e">
        <v>#N/A</v>
      </c>
    </row>
    <row r="161" spans="2:21" ht="25.5" customHeight="1">
      <c r="B161" s="1414">
        <v>2</v>
      </c>
      <c r="C161" s="1415" t="s">
        <v>299</v>
      </c>
      <c r="D161" s="1416"/>
      <c r="E161" s="1417"/>
      <c r="F161" s="1417"/>
      <c r="G161" s="1417"/>
      <c r="H161" s="1418"/>
      <c r="I161" s="1417"/>
      <c r="J161" s="1417"/>
      <c r="K161" s="1419"/>
      <c r="L161" s="1417"/>
      <c r="M161" s="1417"/>
      <c r="N161" s="1417"/>
      <c r="O161" s="1417"/>
      <c r="P161" s="1420" t="str">
        <f>IF(AND(D161="",E161="",F161="",G161=""),"",AVERAGE(D161:G161))</f>
        <v/>
      </c>
      <c r="Q161" s="1421"/>
      <c r="R161" s="1410" t="str">
        <f>IF(AND(H161="",I161="",J161="",K161=""),"",AVERAGE(H161:K161))</f>
        <v/>
      </c>
      <c r="S161" s="1421"/>
      <c r="T161" s="1410" t="str">
        <f>IF(AND(L161="",M161="",N161="",O161=""),"",AVERAGE(L161:O161))</f>
        <v/>
      </c>
      <c r="U161" s="1422"/>
    </row>
    <row r="162" spans="2:21" ht="25.5" customHeight="1">
      <c r="B162" s="1414">
        <v>3</v>
      </c>
      <c r="C162" s="1415"/>
      <c r="D162" s="1416"/>
      <c r="E162" s="1417"/>
      <c r="F162" s="1417"/>
      <c r="G162" s="1417"/>
      <c r="H162" s="1418"/>
      <c r="I162" s="1417"/>
      <c r="J162" s="1417"/>
      <c r="K162" s="1419"/>
      <c r="L162" s="1417"/>
      <c r="M162" s="1417"/>
      <c r="N162" s="1417"/>
      <c r="O162" s="1417"/>
      <c r="P162" s="1423" t="str">
        <f t="shared" ref="P162:P163" si="78">IF(AND(D162="",E162="",F162="",G162=""),"",AVERAGE(D162:G162))</f>
        <v/>
      </c>
      <c r="Q162" s="1424"/>
      <c r="R162" s="1425" t="str">
        <f t="shared" ref="R162:R163" si="79">IF(AND(H162="",I162="",J162="",K162=""),"",AVERAGE(H162:K162))</f>
        <v/>
      </c>
      <c r="S162" s="1424"/>
      <c r="T162" s="1425" t="str">
        <f>IF(AND(L162="",M162="",N162="",O162=""),"",AVERAGE(L162:O162))</f>
        <v/>
      </c>
      <c r="U162" s="1426"/>
    </row>
    <row r="163" spans="2:21" ht="25.5" customHeight="1">
      <c r="B163" s="1414">
        <v>4</v>
      </c>
      <c r="C163" s="1415"/>
      <c r="D163" s="1416"/>
      <c r="E163" s="1417"/>
      <c r="F163" s="1417"/>
      <c r="G163" s="1417"/>
      <c r="H163" s="1418"/>
      <c r="I163" s="1417"/>
      <c r="J163" s="1417"/>
      <c r="K163" s="1419"/>
      <c r="L163" s="1417"/>
      <c r="M163" s="1417"/>
      <c r="N163" s="1417"/>
      <c r="O163" s="1417"/>
      <c r="P163" s="1427" t="str">
        <f t="shared" si="78"/>
        <v/>
      </c>
      <c r="Q163" s="1424"/>
      <c r="R163" s="1428" t="str">
        <f t="shared" si="79"/>
        <v/>
      </c>
      <c r="S163" s="1424"/>
      <c r="T163" s="1428" t="str">
        <f t="shared" ref="T163" si="80">IF(AND(L163="",M163="",N163="",O163=""),"",AVERAGE(L163:O163))</f>
        <v/>
      </c>
      <c r="U163" s="1426"/>
    </row>
    <row r="164" spans="2:21" ht="25.5" customHeight="1" thickBot="1">
      <c r="B164" s="1460">
        <v>5</v>
      </c>
      <c r="C164" s="1461"/>
      <c r="D164" s="1462"/>
      <c r="E164" s="1463"/>
      <c r="F164" s="1463"/>
      <c r="G164" s="1463"/>
      <c r="H164" s="1464"/>
      <c r="I164" s="1463"/>
      <c r="J164" s="1463"/>
      <c r="K164" s="1465"/>
      <c r="L164" s="1463"/>
      <c r="M164" s="1463"/>
      <c r="N164" s="1463"/>
      <c r="O164" s="1463"/>
      <c r="P164" s="1466" t="str">
        <f>IF(AND(D164="",E164="",F164="",G164=""),"",AVERAGE(D164:G164))</f>
        <v/>
      </c>
      <c r="Q164" s="1468"/>
      <c r="R164" s="1467" t="str">
        <f>IF(AND(H164="",I164="",J164="",K164=""),"",AVERAGE(H164:K164))</f>
        <v/>
      </c>
      <c r="S164" s="1468"/>
      <c r="T164" s="1467" t="str">
        <f>IF(AND(L164="",M164="",N164="",O164=""),"",AVERAGE(L164:O164))</f>
        <v/>
      </c>
      <c r="U164" s="1469"/>
    </row>
    <row r="165" spans="2:21" ht="25.5" customHeight="1"/>
    <row r="166" spans="2:21" ht="25.5" customHeight="1" thickBot="1">
      <c r="B166" s="1914" t="s">
        <v>419</v>
      </c>
      <c r="C166" s="1914"/>
      <c r="D166" s="1914"/>
      <c r="E166" s="1914"/>
      <c r="F166" s="1914"/>
      <c r="G166" s="1914"/>
      <c r="H166" s="1242">
        <f>H2</f>
        <v>2026</v>
      </c>
      <c r="I166" s="1242" t="s">
        <v>420</v>
      </c>
      <c r="J166" s="1242">
        <v>7</v>
      </c>
      <c r="K166" s="1242" t="s">
        <v>421</v>
      </c>
      <c r="L166" s="1241"/>
      <c r="M166" s="1241"/>
      <c r="N166" s="1241"/>
      <c r="O166" s="1401"/>
      <c r="P166" s="1401"/>
      <c r="Q166" s="1401"/>
      <c r="R166" s="1401"/>
      <c r="S166" s="1401"/>
      <c r="T166" s="1401"/>
      <c r="U166" s="1401"/>
    </row>
    <row r="167" spans="2:21" ht="25.5" customHeight="1">
      <c r="B167" s="1915"/>
      <c r="C167" s="1918" t="s">
        <v>422</v>
      </c>
      <c r="D167" s="1921" t="s">
        <v>423</v>
      </c>
      <c r="E167" s="1922"/>
      <c r="F167" s="1922"/>
      <c r="G167" s="1923"/>
      <c r="H167" s="1924" t="s">
        <v>424</v>
      </c>
      <c r="I167" s="1922"/>
      <c r="J167" s="1922"/>
      <c r="K167" s="1923"/>
      <c r="L167" s="1924" t="s">
        <v>440</v>
      </c>
      <c r="M167" s="1922"/>
      <c r="N167" s="1922"/>
      <c r="O167" s="1922"/>
      <c r="P167" s="1924" t="s">
        <v>426</v>
      </c>
      <c r="Q167" s="1923"/>
      <c r="R167" s="1922" t="s">
        <v>424</v>
      </c>
      <c r="S167" s="1923"/>
      <c r="T167" s="1922" t="s">
        <v>425</v>
      </c>
      <c r="U167" s="1927"/>
    </row>
    <row r="168" spans="2:21" ht="25.5" customHeight="1">
      <c r="B168" s="1916"/>
      <c r="C168" s="1919"/>
      <c r="D168" s="1239" t="s">
        <v>429</v>
      </c>
      <c r="E168" s="1238" t="s">
        <v>430</v>
      </c>
      <c r="F168" s="1238" t="s">
        <v>431</v>
      </c>
      <c r="G168" s="1237" t="s">
        <v>432</v>
      </c>
      <c r="H168" s="1236" t="s">
        <v>429</v>
      </c>
      <c r="I168" s="1238" t="s">
        <v>430</v>
      </c>
      <c r="J168" s="1238" t="s">
        <v>431</v>
      </c>
      <c r="K168" s="1237" t="s">
        <v>432</v>
      </c>
      <c r="L168" s="1235" t="s">
        <v>429</v>
      </c>
      <c r="M168" s="1238" t="s">
        <v>430</v>
      </c>
      <c r="N168" s="1238" t="s">
        <v>431</v>
      </c>
      <c r="O168" s="1234" t="s">
        <v>432</v>
      </c>
      <c r="P168" s="1928" t="s">
        <v>433</v>
      </c>
      <c r="Q168" s="1930" t="s">
        <v>434</v>
      </c>
      <c r="R168" s="1932" t="s">
        <v>435</v>
      </c>
      <c r="S168" s="1930" t="s">
        <v>434</v>
      </c>
      <c r="T168" s="1932" t="s">
        <v>435</v>
      </c>
      <c r="U168" s="1925" t="s">
        <v>441</v>
      </c>
    </row>
    <row r="169" spans="2:21" ht="25.5" customHeight="1" thickBot="1">
      <c r="B169" s="1917"/>
      <c r="C169" s="1920"/>
      <c r="D169" s="1233">
        <v>1</v>
      </c>
      <c r="E169" s="1232">
        <v>2</v>
      </c>
      <c r="F169" s="1232">
        <v>3</v>
      </c>
      <c r="G169" s="1231">
        <v>4</v>
      </c>
      <c r="H169" s="1230">
        <v>1</v>
      </c>
      <c r="I169" s="1232">
        <v>2</v>
      </c>
      <c r="J169" s="1232">
        <v>3</v>
      </c>
      <c r="K169" s="1231">
        <v>4</v>
      </c>
      <c r="L169" s="1229">
        <v>1</v>
      </c>
      <c r="M169" s="1232">
        <v>2</v>
      </c>
      <c r="N169" s="1232">
        <v>3</v>
      </c>
      <c r="O169" s="1232">
        <v>4</v>
      </c>
      <c r="P169" s="1929"/>
      <c r="Q169" s="1931"/>
      <c r="R169" s="1933"/>
      <c r="S169" s="1931"/>
      <c r="T169" s="1933"/>
      <c r="U169" s="1926"/>
    </row>
    <row r="170" spans="2:21" ht="25.5" customHeight="1">
      <c r="B170" s="1403">
        <v>1</v>
      </c>
      <c r="C170" s="1404"/>
      <c r="D170" s="1799"/>
      <c r="E170" s="1800"/>
      <c r="F170" s="1800"/>
      <c r="G170" s="1800"/>
      <c r="H170" s="1801"/>
      <c r="I170" s="1800"/>
      <c r="J170" s="1800"/>
      <c r="K170" s="1802"/>
      <c r="L170" s="1800"/>
      <c r="M170" s="1800"/>
      <c r="N170" s="1800"/>
      <c r="O170" s="1802"/>
      <c r="P170" s="1409" t="str">
        <f>IF(AND(D170="",E170="",F170="",G170=""),"",AVERAGE(D170:G170))</f>
        <v/>
      </c>
      <c r="Q170" s="1411" t="s">
        <v>437</v>
      </c>
      <c r="R170" s="1412" t="str">
        <f>IF(AND(H170="",I170="",J170="",K170=""),"",AVERAGE(H170:K170))</f>
        <v/>
      </c>
      <c r="S170" s="1411" t="s">
        <v>438</v>
      </c>
      <c r="T170" s="1412" t="str">
        <f>IF(AND(L170="",M170="",N170="",O170=""),"",AVERAGE(L170:O170))</f>
        <v/>
      </c>
      <c r="U170" s="1413" t="s">
        <v>437</v>
      </c>
    </row>
    <row r="171" spans="2:21" ht="25.5" customHeight="1">
      <c r="B171" s="1414">
        <v>2</v>
      </c>
      <c r="C171" s="1415"/>
      <c r="D171" s="1803"/>
      <c r="E171" s="1804"/>
      <c r="F171" s="1804"/>
      <c r="G171" s="1804"/>
      <c r="H171" s="1805"/>
      <c r="I171" s="1804"/>
      <c r="J171" s="1804"/>
      <c r="K171" s="1806"/>
      <c r="L171" s="1804"/>
      <c r="M171" s="1804"/>
      <c r="N171" s="1804"/>
      <c r="O171" s="1806"/>
      <c r="P171" s="1420" t="str">
        <f>IF(AND(D171="",E171="",F171="",G171=""),"",AVERAGE(D171:G171))</f>
        <v/>
      </c>
      <c r="Q171" s="1421"/>
      <c r="R171" s="1410" t="str">
        <f>IF(AND(H171="",I171="",J171="",K171=""),"",AVERAGE(H171:K171))</f>
        <v/>
      </c>
      <c r="S171" s="1421"/>
      <c r="T171" s="1410" t="str">
        <f>IF(AND(L171="",M171="",N171="",O171=""),"",AVERAGE(L171:O171))</f>
        <v/>
      </c>
      <c r="U171" s="1422"/>
    </row>
    <row r="172" spans="2:21" ht="25.5" customHeight="1">
      <c r="B172" s="1414">
        <v>3</v>
      </c>
      <c r="C172" s="1415"/>
      <c r="D172" s="1803"/>
      <c r="E172" s="1804"/>
      <c r="F172" s="1804"/>
      <c r="G172" s="1804"/>
      <c r="H172" s="1805"/>
      <c r="I172" s="1804"/>
      <c r="J172" s="1804"/>
      <c r="K172" s="1806"/>
      <c r="L172" s="1804"/>
      <c r="M172" s="1804"/>
      <c r="N172" s="1804"/>
      <c r="O172" s="1806"/>
      <c r="P172" s="1423" t="str">
        <f t="shared" ref="P172:P173" si="81">IF(AND(D172="",E172="",F172="",G172=""),"",AVERAGE(D172:G172))</f>
        <v/>
      </c>
      <c r="Q172" s="1424"/>
      <c r="R172" s="1425" t="str">
        <f t="shared" ref="R172:R173" si="82">IF(AND(H172="",I172="",J172="",K172=""),"",AVERAGE(H172:K172))</f>
        <v/>
      </c>
      <c r="S172" s="1424"/>
      <c r="T172" s="1425" t="str">
        <f>IF(AND(L172="",M172="",N172="",O172=""),"",AVERAGE(L172:O172))</f>
        <v/>
      </c>
      <c r="U172" s="1426"/>
    </row>
    <row r="173" spans="2:21" ht="25.5" customHeight="1">
      <c r="B173" s="1414">
        <v>4</v>
      </c>
      <c r="C173" s="1415"/>
      <c r="D173" s="1803"/>
      <c r="E173" s="1804"/>
      <c r="F173" s="1804"/>
      <c r="G173" s="1804"/>
      <c r="H173" s="1805"/>
      <c r="I173" s="1804"/>
      <c r="J173" s="1804"/>
      <c r="K173" s="1806"/>
      <c r="L173" s="1804"/>
      <c r="M173" s="1804"/>
      <c r="N173" s="1804"/>
      <c r="O173" s="1806"/>
      <c r="P173" s="1427" t="str">
        <f t="shared" si="81"/>
        <v/>
      </c>
      <c r="Q173" s="1424"/>
      <c r="R173" s="1428" t="str">
        <f t="shared" si="82"/>
        <v/>
      </c>
      <c r="S173" s="1424"/>
      <c r="T173" s="1428" t="str">
        <f t="shared" ref="T173" si="83">IF(AND(L173="",M173="",N173="",O173=""),"",AVERAGE(L173:O173))</f>
        <v/>
      </c>
      <c r="U173" s="1426"/>
    </row>
    <row r="174" spans="2:21" ht="25.5" customHeight="1" thickBot="1">
      <c r="B174" s="1429">
        <v>5</v>
      </c>
      <c r="C174" s="1430"/>
      <c r="D174" s="1807"/>
      <c r="E174" s="1808"/>
      <c r="F174" s="1808"/>
      <c r="G174" s="1808"/>
      <c r="H174" s="1809"/>
      <c r="I174" s="1808"/>
      <c r="J174" s="1808"/>
      <c r="K174" s="1810"/>
      <c r="L174" s="1808"/>
      <c r="M174" s="1808"/>
      <c r="N174" s="1808"/>
      <c r="O174" s="1810"/>
      <c r="P174" s="1435" t="str">
        <f>IF(AND(D174="",E174="",F174="",G174=""),"",AVERAGE(D174:G174))</f>
        <v/>
      </c>
      <c r="Q174" s="1436"/>
      <c r="R174" s="1437" t="str">
        <f>IF(AND(H174="",I174="",J174="",K174=""),"",AVERAGE(H174:K174))</f>
        <v/>
      </c>
      <c r="S174" s="1436"/>
      <c r="T174" s="1437" t="str">
        <f>IF(AND(L174="",M174="",N174="",O174=""),"",AVERAGE(L174:O174))</f>
        <v/>
      </c>
      <c r="U174" s="1438"/>
    </row>
    <row r="175" spans="2:21" ht="25.5" customHeight="1" thickTop="1">
      <c r="B175" s="1439">
        <v>6</v>
      </c>
      <c r="C175" s="1440"/>
      <c r="D175" s="1441"/>
      <c r="E175" s="1442"/>
      <c r="F175" s="1442"/>
      <c r="G175" s="1442"/>
      <c r="H175" s="1443"/>
      <c r="I175" s="1442"/>
      <c r="J175" s="1442"/>
      <c r="K175" s="1444"/>
      <c r="L175" s="1442"/>
      <c r="M175" s="1442"/>
      <c r="N175" s="1442"/>
      <c r="O175" s="1442"/>
      <c r="P175" s="1445" t="str">
        <f>IF(AND(D175="",E175="",F175="",G175=""),"",AVERAGE(D175:G175))</f>
        <v/>
      </c>
      <c r="Q175" s="1725" t="e">
        <v>#N/A</v>
      </c>
      <c r="R175" s="1447" t="str">
        <f>IF(AND(H175="",I175="",J175="",K175=""),"",AVERAGE(H175:K175))</f>
        <v/>
      </c>
      <c r="S175" s="1725" t="e">
        <v>#N/A</v>
      </c>
      <c r="T175" s="1412" t="str">
        <f>IF(AND(L175="",M175="",N175="",O175=""),"",AVERAGE(L175:O175))</f>
        <v/>
      </c>
      <c r="U175" s="1729" t="e">
        <v>#N/A</v>
      </c>
    </row>
    <row r="176" spans="2:21" ht="25.5" customHeight="1">
      <c r="B176" s="1414">
        <v>7</v>
      </c>
      <c r="C176" s="1415" t="s">
        <v>294</v>
      </c>
      <c r="D176" s="1416"/>
      <c r="E176" s="1417"/>
      <c r="F176" s="1417"/>
      <c r="G176" s="1417"/>
      <c r="H176" s="1418"/>
      <c r="I176" s="1417"/>
      <c r="J176" s="1417"/>
      <c r="K176" s="1419"/>
      <c r="L176" s="1417"/>
      <c r="M176" s="1417"/>
      <c r="N176" s="1417"/>
      <c r="O176" s="1417"/>
      <c r="P176" s="1420" t="str">
        <f>IF(AND(D176="",E176="",F176="",G176=""),"",AVERAGE(D176:G176))</f>
        <v/>
      </c>
      <c r="Q176" s="1421"/>
      <c r="R176" s="1410" t="str">
        <f>IF(AND(H176="",I176="",J176="",K176=""),"",AVERAGE(H176:K176))</f>
        <v/>
      </c>
      <c r="S176" s="1421"/>
      <c r="T176" s="1410" t="str">
        <f>IF(AND(L176="",M176="",N176="",O176=""),"",AVERAGE(L176:O176))</f>
        <v/>
      </c>
      <c r="U176" s="1422"/>
    </row>
    <row r="177" spans="2:21" ht="25.5" customHeight="1">
      <c r="B177" s="1414">
        <v>8</v>
      </c>
      <c r="C177" s="1415"/>
      <c r="D177" s="1416"/>
      <c r="E177" s="1417"/>
      <c r="F177" s="1417"/>
      <c r="G177" s="1417"/>
      <c r="H177" s="1418"/>
      <c r="I177" s="1417"/>
      <c r="J177" s="1417"/>
      <c r="K177" s="1419"/>
      <c r="L177" s="1417"/>
      <c r="M177" s="1417"/>
      <c r="N177" s="1417"/>
      <c r="O177" s="1417"/>
      <c r="P177" s="1423" t="str">
        <f t="shared" ref="P177:P178" si="84">IF(AND(D177="",E177="",F177="",G177=""),"",AVERAGE(D177:G177))</f>
        <v/>
      </c>
      <c r="Q177" s="1424"/>
      <c r="R177" s="1425" t="str">
        <f t="shared" ref="R177:R178" si="85">IF(AND(H177="",I177="",J177="",K177=""),"",AVERAGE(H177:K177))</f>
        <v/>
      </c>
      <c r="S177" s="1424"/>
      <c r="T177" s="1425" t="str">
        <f>IF(AND(L177="",M177="",N177="",O177=""),"",AVERAGE(L177:O177))</f>
        <v/>
      </c>
      <c r="U177" s="1426"/>
    </row>
    <row r="178" spans="2:21" ht="25.5" customHeight="1">
      <c r="B178" s="1414">
        <v>9</v>
      </c>
      <c r="C178" s="1415"/>
      <c r="D178" s="1416"/>
      <c r="E178" s="1417"/>
      <c r="F178" s="1417"/>
      <c r="G178" s="1417"/>
      <c r="H178" s="1418"/>
      <c r="I178" s="1417"/>
      <c r="J178" s="1417"/>
      <c r="K178" s="1419"/>
      <c r="L178" s="1417"/>
      <c r="M178" s="1417"/>
      <c r="N178" s="1417"/>
      <c r="O178" s="1450"/>
      <c r="P178" s="1427" t="str">
        <f t="shared" si="84"/>
        <v/>
      </c>
      <c r="Q178" s="1424"/>
      <c r="R178" s="1428" t="str">
        <f t="shared" si="85"/>
        <v/>
      </c>
      <c r="S178" s="1424"/>
      <c r="T178" s="1428" t="str">
        <f t="shared" ref="T178" si="86">IF(AND(L178="",M178="",N178="",O178=""),"",AVERAGE(L178:O178))</f>
        <v/>
      </c>
      <c r="U178" s="1426"/>
    </row>
    <row r="179" spans="2:21" ht="25.5" customHeight="1" thickBot="1">
      <c r="B179" s="1451">
        <v>10</v>
      </c>
      <c r="C179" s="1452"/>
      <c r="D179" s="1453"/>
      <c r="E179" s="1454"/>
      <c r="F179" s="1454"/>
      <c r="G179" s="1454"/>
      <c r="H179" s="1455"/>
      <c r="I179" s="1454"/>
      <c r="J179" s="1454"/>
      <c r="K179" s="1456"/>
      <c r="L179" s="1454"/>
      <c r="M179" s="1454"/>
      <c r="N179" s="1454"/>
      <c r="O179" s="1454"/>
      <c r="P179" s="1435" t="str">
        <f>IF(AND(D179="",E179="",F179="",G179=""),"",AVERAGE(D179:G179))</f>
        <v/>
      </c>
      <c r="Q179" s="1436"/>
      <c r="R179" s="1437" t="str">
        <f>IF(AND(H179="",I179="",J179="",K179=""),"",AVERAGE(H179:K179))</f>
        <v/>
      </c>
      <c r="S179" s="1436"/>
      <c r="T179" s="1437" t="str">
        <f>IF(AND(L179="",M179="",N179="",O179=""),"",AVERAGE(L179:O179))</f>
        <v/>
      </c>
      <c r="U179" s="1438"/>
    </row>
    <row r="180" spans="2:21" ht="25.5" customHeight="1" thickTop="1">
      <c r="B180" s="1403">
        <v>11</v>
      </c>
      <c r="C180" s="1404" t="s">
        <v>295</v>
      </c>
      <c r="D180" s="1405"/>
      <c r="E180" s="1406"/>
      <c r="F180" s="1406"/>
      <c r="G180" s="1406"/>
      <c r="H180" s="1407"/>
      <c r="I180" s="1406"/>
      <c r="J180" s="1406"/>
      <c r="K180" s="1408"/>
      <c r="L180" s="1406"/>
      <c r="M180" s="1406"/>
      <c r="N180" s="1406"/>
      <c r="O180" s="1406"/>
      <c r="P180" s="1445" t="str">
        <f>IF(AND(D180="",E180="",F180="",G180=""),"",AVERAGE(D180:G180))</f>
        <v/>
      </c>
      <c r="Q180" s="1724" t="e">
        <v>#N/A</v>
      </c>
      <c r="R180" s="1447" t="str">
        <f>IF(AND(H180="",I180="",J180="",K180=""),"",AVERAGE(H180:K180))</f>
        <v/>
      </c>
      <c r="S180" s="1724" t="e">
        <v>#N/A</v>
      </c>
      <c r="T180" s="1412" t="str">
        <f>IF(AND(L180="",M180="",N180="",O180=""),"",AVERAGE(L180:O180))</f>
        <v/>
      </c>
      <c r="U180" s="1730" t="e">
        <v>#N/A</v>
      </c>
    </row>
    <row r="181" spans="2:21" ht="25.5" customHeight="1">
      <c r="B181" s="1414">
        <v>12</v>
      </c>
      <c r="C181" s="1415"/>
      <c r="D181" s="1416"/>
      <c r="E181" s="1417"/>
      <c r="F181" s="1417"/>
      <c r="G181" s="1417"/>
      <c r="H181" s="1418"/>
      <c r="I181" s="1417"/>
      <c r="J181" s="1417"/>
      <c r="K181" s="1419"/>
      <c r="L181" s="1417"/>
      <c r="M181" s="1417"/>
      <c r="N181" s="1417"/>
      <c r="O181" s="1417"/>
      <c r="P181" s="1420" t="str">
        <f>IF(AND(D181="",E181="",F181="",G181=""),"",AVERAGE(D181:G181))</f>
        <v/>
      </c>
      <c r="Q181" s="1421"/>
      <c r="R181" s="1410" t="str">
        <f>IF(AND(H181="",I181="",J181="",K181=""),"",AVERAGE(H181:K181))</f>
        <v/>
      </c>
      <c r="S181" s="1421"/>
      <c r="T181" s="1410" t="str">
        <f>IF(AND(L181="",M181="",N181="",O181=""),"",AVERAGE(L181:O181))</f>
        <v/>
      </c>
      <c r="U181" s="1422"/>
    </row>
    <row r="182" spans="2:21" ht="25.5" customHeight="1">
      <c r="B182" s="1414">
        <v>13</v>
      </c>
      <c r="C182" s="1415"/>
      <c r="D182" s="1416"/>
      <c r="E182" s="1417"/>
      <c r="F182" s="1417"/>
      <c r="G182" s="1417"/>
      <c r="H182" s="1418"/>
      <c r="I182" s="1417"/>
      <c r="J182" s="1417"/>
      <c r="K182" s="1419"/>
      <c r="L182" s="1417"/>
      <c r="M182" s="1417"/>
      <c r="N182" s="1417"/>
      <c r="O182" s="1417"/>
      <c r="P182" s="1423" t="str">
        <f t="shared" ref="P182:P183" si="87">IF(AND(D182="",E182="",F182="",G182=""),"",AVERAGE(D182:G182))</f>
        <v/>
      </c>
      <c r="Q182" s="1424"/>
      <c r="R182" s="1425" t="str">
        <f t="shared" ref="R182:R183" si="88">IF(AND(H182="",I182="",J182="",K182=""),"",AVERAGE(H182:K182))</f>
        <v/>
      </c>
      <c r="S182" s="1424"/>
      <c r="T182" s="1425" t="str">
        <f>IF(AND(L182="",M182="",N182="",O182=""),"",AVERAGE(L182:O182))</f>
        <v/>
      </c>
      <c r="U182" s="1426"/>
    </row>
    <row r="183" spans="2:21" ht="25.5" customHeight="1">
      <c r="B183" s="1414">
        <v>14</v>
      </c>
      <c r="C183" s="1415"/>
      <c r="D183" s="1416"/>
      <c r="E183" s="1417"/>
      <c r="F183" s="1417"/>
      <c r="G183" s="1417"/>
      <c r="H183" s="1418"/>
      <c r="I183" s="1417"/>
      <c r="J183" s="1417"/>
      <c r="K183" s="1419"/>
      <c r="L183" s="1417"/>
      <c r="M183" s="1417"/>
      <c r="N183" s="1417"/>
      <c r="O183" s="1417"/>
      <c r="P183" s="1427" t="str">
        <f t="shared" si="87"/>
        <v/>
      </c>
      <c r="Q183" s="1424"/>
      <c r="R183" s="1428" t="str">
        <f t="shared" si="88"/>
        <v/>
      </c>
      <c r="S183" s="1424"/>
      <c r="T183" s="1428" t="str">
        <f t="shared" ref="T183" si="89">IF(AND(L183="",M183="",N183="",O183=""),"",AVERAGE(L183:O183))</f>
        <v/>
      </c>
      <c r="U183" s="1426"/>
    </row>
    <row r="184" spans="2:21" ht="25.5" customHeight="1" thickBot="1">
      <c r="B184" s="1429">
        <v>15</v>
      </c>
      <c r="C184" s="1430"/>
      <c r="D184" s="1431"/>
      <c r="E184" s="1432"/>
      <c r="F184" s="1432"/>
      <c r="G184" s="1432"/>
      <c r="H184" s="1433"/>
      <c r="I184" s="1432"/>
      <c r="J184" s="1432"/>
      <c r="K184" s="1434"/>
      <c r="L184" s="1432"/>
      <c r="M184" s="1432"/>
      <c r="N184" s="1432"/>
      <c r="O184" s="1432"/>
      <c r="P184" s="1435" t="str">
        <f>IF(AND(D184="",E184="",F184="",G184=""),"",AVERAGE(D184:G184))</f>
        <v/>
      </c>
      <c r="Q184" s="1436"/>
      <c r="R184" s="1437" t="str">
        <f>IF(AND(H184="",I184="",J184="",K184=""),"",AVERAGE(H184:K184))</f>
        <v/>
      </c>
      <c r="S184" s="1436"/>
      <c r="T184" s="1437" t="str">
        <f>IF(AND(L184="",M184="",N184="",O184=""),"",AVERAGE(L184:O184))</f>
        <v/>
      </c>
      <c r="U184" s="1438"/>
    </row>
    <row r="185" spans="2:21" ht="25.5" customHeight="1" thickTop="1">
      <c r="B185" s="1439">
        <v>16</v>
      </c>
      <c r="C185" s="1440" t="s">
        <v>296</v>
      </c>
      <c r="D185" s="1441"/>
      <c r="E185" s="1442"/>
      <c r="F185" s="1442"/>
      <c r="G185" s="1442"/>
      <c r="H185" s="1443"/>
      <c r="I185" s="1442"/>
      <c r="J185" s="1442"/>
      <c r="K185" s="1444"/>
      <c r="L185" s="1442"/>
      <c r="M185" s="1442"/>
      <c r="N185" s="1442"/>
      <c r="O185" s="1442"/>
      <c r="P185" s="1445" t="str">
        <f>IF(AND(D185="",E185="",F185="",G185=""),"",AVERAGE(D185:G185))</f>
        <v/>
      </c>
      <c r="Q185" s="1446" t="e">
        <v>#N/A</v>
      </c>
      <c r="R185" s="1447" t="str">
        <f>IF(AND(H185="",I185="",J185="",K185=""),"",AVERAGE(H185:K185))</f>
        <v/>
      </c>
      <c r="S185" s="1448" t="e">
        <v>#N/A</v>
      </c>
      <c r="T185" s="1412" t="str">
        <f>IF(AND(L185="",M185="",N185="",O185=""),"",AVERAGE(L185:O185))</f>
        <v/>
      </c>
      <c r="U185" s="1449" t="e">
        <v>#N/A</v>
      </c>
    </row>
    <row r="186" spans="2:21" ht="25.5" customHeight="1">
      <c r="B186" s="1414">
        <v>17</v>
      </c>
      <c r="C186" s="1415"/>
      <c r="D186" s="1416"/>
      <c r="E186" s="1417"/>
      <c r="F186" s="1417"/>
      <c r="G186" s="1417"/>
      <c r="H186" s="1418"/>
      <c r="I186" s="1417"/>
      <c r="J186" s="1417"/>
      <c r="K186" s="1419"/>
      <c r="L186" s="1417"/>
      <c r="M186" s="1417"/>
      <c r="N186" s="1417"/>
      <c r="O186" s="1417"/>
      <c r="P186" s="1420" t="str">
        <f>IF(AND(D186="",E186="",F186="",G186=""),"",AVERAGE(D186:G186))</f>
        <v/>
      </c>
      <c r="Q186" s="1421"/>
      <c r="R186" s="1410" t="str">
        <f>IF(AND(H186="",I186="",J186="",K186=""),"",AVERAGE(H186:K186))</f>
        <v/>
      </c>
      <c r="S186" s="1421"/>
      <c r="T186" s="1410" t="str">
        <f>IF(AND(L186="",M186="",N186="",O186=""),"",AVERAGE(L186:O186))</f>
        <v/>
      </c>
      <c r="U186" s="1422"/>
    </row>
    <row r="187" spans="2:21" ht="25.5" customHeight="1">
      <c r="B187" s="1414">
        <v>18</v>
      </c>
      <c r="C187" s="1415"/>
      <c r="D187" s="1416"/>
      <c r="E187" s="1417"/>
      <c r="F187" s="1417"/>
      <c r="G187" s="1417"/>
      <c r="H187" s="1418"/>
      <c r="I187" s="1417"/>
      <c r="J187" s="1417"/>
      <c r="K187" s="1419"/>
      <c r="L187" s="1417"/>
      <c r="M187" s="1417"/>
      <c r="N187" s="1417"/>
      <c r="O187" s="1417"/>
      <c r="P187" s="1423" t="str">
        <f t="shared" ref="P187:P188" si="90">IF(AND(D187="",E187="",F187="",G187=""),"",AVERAGE(D187:G187))</f>
        <v/>
      </c>
      <c r="Q187" s="1424"/>
      <c r="R187" s="1425" t="str">
        <f t="shared" ref="R187:R188" si="91">IF(AND(H187="",I187="",J187="",K187=""),"",AVERAGE(H187:K187))</f>
        <v/>
      </c>
      <c r="S187" s="1424"/>
      <c r="T187" s="1425" t="str">
        <f>IF(AND(L187="",M187="",N187="",O187=""),"",AVERAGE(L187:O187))</f>
        <v/>
      </c>
      <c r="U187" s="1426"/>
    </row>
    <row r="188" spans="2:21" ht="25.5" customHeight="1">
      <c r="B188" s="1414">
        <v>19</v>
      </c>
      <c r="C188" s="1415"/>
      <c r="D188" s="1416"/>
      <c r="E188" s="1417"/>
      <c r="F188" s="1417"/>
      <c r="G188" s="1417"/>
      <c r="H188" s="1418"/>
      <c r="I188" s="1417"/>
      <c r="J188" s="1417"/>
      <c r="K188" s="1419"/>
      <c r="L188" s="1417"/>
      <c r="M188" s="1417"/>
      <c r="N188" s="1417"/>
      <c r="O188" s="1417"/>
      <c r="P188" s="1427" t="str">
        <f t="shared" si="90"/>
        <v/>
      </c>
      <c r="Q188" s="1424"/>
      <c r="R188" s="1428" t="str">
        <f t="shared" si="91"/>
        <v/>
      </c>
      <c r="S188" s="1424"/>
      <c r="T188" s="1428" t="str">
        <f t="shared" ref="T188" si="92">IF(AND(L188="",M188="",N188="",O188=""),"",AVERAGE(L188:O188))</f>
        <v/>
      </c>
      <c r="U188" s="1426"/>
    </row>
    <row r="189" spans="2:21" ht="25.5" customHeight="1" thickBot="1">
      <c r="B189" s="1451">
        <v>20</v>
      </c>
      <c r="C189" s="1452"/>
      <c r="D189" s="1453"/>
      <c r="E189" s="1454"/>
      <c r="F189" s="1454"/>
      <c r="G189" s="1454"/>
      <c r="H189" s="1455"/>
      <c r="I189" s="1454"/>
      <c r="J189" s="1454"/>
      <c r="K189" s="1456"/>
      <c r="L189" s="1454"/>
      <c r="M189" s="1454"/>
      <c r="N189" s="1454"/>
      <c r="O189" s="1454"/>
      <c r="P189" s="1435" t="str">
        <f>IF(AND(D189="",E189="",F189="",G189=""),"",AVERAGE(D189:G189))</f>
        <v/>
      </c>
      <c r="Q189" s="1436"/>
      <c r="R189" s="1437" t="str">
        <f>IF(AND(H189="",I189="",J189="",K189=""),"",AVERAGE(H189:K189))</f>
        <v/>
      </c>
      <c r="S189" s="1436"/>
      <c r="T189" s="1437" t="str">
        <f>IF(AND(L189="",M189="",N189="",O189=""),"",AVERAGE(L189:O189))</f>
        <v/>
      </c>
      <c r="U189" s="1438"/>
    </row>
    <row r="190" spans="2:21" ht="25.5" customHeight="1" thickTop="1">
      <c r="B190" s="1403">
        <v>21</v>
      </c>
      <c r="C190" s="1404"/>
      <c r="D190" s="1405"/>
      <c r="E190" s="1406"/>
      <c r="F190" s="1406"/>
      <c r="G190" s="1406"/>
      <c r="H190" s="1407"/>
      <c r="I190" s="1406"/>
      <c r="J190" s="1406"/>
      <c r="K190" s="1408"/>
      <c r="L190" s="1406"/>
      <c r="M190" s="1406"/>
      <c r="N190" s="1406"/>
      <c r="O190" s="1406"/>
      <c r="P190" s="1445" t="str">
        <f>IF(AND(D190="",E190="",F190="",G190=""),"",AVERAGE(D190:G190))</f>
        <v/>
      </c>
      <c r="Q190" s="1446" t="e">
        <v>#N/A</v>
      </c>
      <c r="R190" s="1447" t="str">
        <f>IF(AND(H190="",I190="",J190="",K190=""),"",AVERAGE(H190:K190))</f>
        <v/>
      </c>
      <c r="S190" s="1448" t="e">
        <v>#N/A</v>
      </c>
      <c r="T190" s="1412" t="str">
        <f>IF(AND(L190="",M190="",N190="",O190=""),"",AVERAGE(L190:O190))</f>
        <v/>
      </c>
      <c r="U190" s="1449" t="e">
        <v>#N/A</v>
      </c>
    </row>
    <row r="191" spans="2:21" ht="25.5" customHeight="1">
      <c r="B191" s="1414">
        <v>22</v>
      </c>
      <c r="C191" s="1415" t="s">
        <v>297</v>
      </c>
      <c r="D191" s="1416"/>
      <c r="E191" s="1417"/>
      <c r="F191" s="1417"/>
      <c r="G191" s="1417"/>
      <c r="H191" s="1418"/>
      <c r="I191" s="1417"/>
      <c r="J191" s="1417"/>
      <c r="K191" s="1419"/>
      <c r="L191" s="1417"/>
      <c r="M191" s="1417"/>
      <c r="N191" s="1417"/>
      <c r="O191" s="1417"/>
      <c r="P191" s="1420" t="str">
        <f>IF(AND(D191="",E191="",F191="",G191=""),"",AVERAGE(D191:G191))</f>
        <v/>
      </c>
      <c r="Q191" s="1421"/>
      <c r="R191" s="1410" t="str">
        <f>IF(AND(H191="",I191="",J191="",K191=""),"",AVERAGE(H191:K191))</f>
        <v/>
      </c>
      <c r="S191" s="1421"/>
      <c r="T191" s="1410" t="str">
        <f>IF(AND(L191="",M191="",N191="",O191=""),"",AVERAGE(L191:O191))</f>
        <v/>
      </c>
      <c r="U191" s="1422"/>
    </row>
    <row r="192" spans="2:21" ht="25.5" customHeight="1">
      <c r="B192" s="1414">
        <v>23</v>
      </c>
      <c r="C192" s="1415"/>
      <c r="D192" s="1416"/>
      <c r="E192" s="1417"/>
      <c r="F192" s="1417"/>
      <c r="G192" s="1417"/>
      <c r="H192" s="1418"/>
      <c r="I192" s="1417"/>
      <c r="J192" s="1417"/>
      <c r="K192" s="1419"/>
      <c r="L192" s="1417"/>
      <c r="M192" s="1417"/>
      <c r="N192" s="1417"/>
      <c r="O192" s="1417"/>
      <c r="P192" s="1423" t="str">
        <f t="shared" ref="P192:P193" si="93">IF(AND(D192="",E192="",F192="",G192=""),"",AVERAGE(D192:G192))</f>
        <v/>
      </c>
      <c r="Q192" s="1424"/>
      <c r="R192" s="1425" t="str">
        <f t="shared" ref="R192:R193" si="94">IF(AND(H192="",I192="",J192="",K192=""),"",AVERAGE(H192:K192))</f>
        <v/>
      </c>
      <c r="S192" s="1424"/>
      <c r="T192" s="1425" t="str">
        <f>IF(AND(L192="",M192="",N192="",O192=""),"",AVERAGE(L192:O192))</f>
        <v/>
      </c>
      <c r="U192" s="1426"/>
    </row>
    <row r="193" spans="2:21" ht="25.5" customHeight="1">
      <c r="B193" s="1414">
        <v>24</v>
      </c>
      <c r="C193" s="1415"/>
      <c r="D193" s="1416"/>
      <c r="E193" s="1417"/>
      <c r="F193" s="1417"/>
      <c r="G193" s="1417"/>
      <c r="H193" s="1418"/>
      <c r="I193" s="1417"/>
      <c r="J193" s="1417"/>
      <c r="K193" s="1419"/>
      <c r="L193" s="1417"/>
      <c r="M193" s="1417"/>
      <c r="N193" s="1417"/>
      <c r="O193" s="1417"/>
      <c r="P193" s="1427" t="str">
        <f t="shared" si="93"/>
        <v/>
      </c>
      <c r="Q193" s="1424"/>
      <c r="R193" s="1428" t="str">
        <f t="shared" si="94"/>
        <v/>
      </c>
      <c r="S193" s="1424"/>
      <c r="T193" s="1428" t="str">
        <f t="shared" ref="T193" si="95">IF(AND(L193="",M193="",N193="",O193=""),"",AVERAGE(L193:O193))</f>
        <v/>
      </c>
      <c r="U193" s="1426"/>
    </row>
    <row r="194" spans="2:21" ht="25.5" customHeight="1" thickBot="1">
      <c r="B194" s="1429">
        <v>25</v>
      </c>
      <c r="C194" s="1430"/>
      <c r="D194" s="1431"/>
      <c r="E194" s="1432"/>
      <c r="F194" s="1432"/>
      <c r="G194" s="1432"/>
      <c r="H194" s="1433"/>
      <c r="I194" s="1432"/>
      <c r="J194" s="1432"/>
      <c r="K194" s="1434"/>
      <c r="L194" s="1432"/>
      <c r="M194" s="1432"/>
      <c r="N194" s="1432"/>
      <c r="O194" s="1432"/>
      <c r="P194" s="1435" t="str">
        <f>IF(AND(D194="",E194="",F194="",G194=""),"",AVERAGE(D194:G194))</f>
        <v/>
      </c>
      <c r="Q194" s="1436"/>
      <c r="R194" s="1437" t="str">
        <f>IF(AND(H194="",I194="",J194="",K194=""),"",AVERAGE(H194:K194))</f>
        <v/>
      </c>
      <c r="S194" s="1436"/>
      <c r="T194" s="1437" t="str">
        <f>IF(AND(L194="",M194="",N194="",O194=""),"",AVERAGE(L194:O194))</f>
        <v/>
      </c>
      <c r="U194" s="1438"/>
    </row>
    <row r="195" spans="2:21" ht="25.5" customHeight="1" thickTop="1">
      <c r="B195" s="1439">
        <v>26</v>
      </c>
      <c r="C195" s="1440"/>
      <c r="D195" s="1441"/>
      <c r="E195" s="1442"/>
      <c r="F195" s="1442"/>
      <c r="G195" s="1442"/>
      <c r="H195" s="1443"/>
      <c r="I195" s="1442"/>
      <c r="J195" s="1442"/>
      <c r="K195" s="1444"/>
      <c r="L195" s="1442"/>
      <c r="M195" s="1442"/>
      <c r="N195" s="1442"/>
      <c r="O195" s="1442"/>
      <c r="P195" s="1445" t="str">
        <f>IF(AND(D195="",E195="",F195="",G195=""),"",AVERAGE(D195:G195))</f>
        <v/>
      </c>
      <c r="Q195" s="1725" t="e">
        <v>#N/A</v>
      </c>
      <c r="R195" s="1447" t="str">
        <f>IF(AND(H195="",I195="",J195="",K195=""),"",AVERAGE(H195:K195))</f>
        <v/>
      </c>
      <c r="S195" s="1725" t="e">
        <v>#N/A</v>
      </c>
      <c r="T195" s="1412" t="str">
        <f>IF(AND(L195="",M195="",N195="",O195=""),"",AVERAGE(L195:O195))</f>
        <v/>
      </c>
      <c r="U195" s="1729" t="e">
        <v>#N/A</v>
      </c>
    </row>
    <row r="196" spans="2:21" ht="25.5" customHeight="1">
      <c r="B196" s="1414">
        <v>27</v>
      </c>
      <c r="C196" s="1415"/>
      <c r="D196" s="1416"/>
      <c r="E196" s="1417"/>
      <c r="F196" s="1417"/>
      <c r="G196" s="1417"/>
      <c r="H196" s="1418"/>
      <c r="I196" s="1417"/>
      <c r="J196" s="1417"/>
      <c r="K196" s="1419"/>
      <c r="L196" s="1417"/>
      <c r="M196" s="1417"/>
      <c r="N196" s="1417"/>
      <c r="O196" s="1417"/>
      <c r="P196" s="1420" t="str">
        <f>IF(AND(D196="",E196="",F196="",G196=""),"",AVERAGE(D196:G196))</f>
        <v/>
      </c>
      <c r="Q196" s="1421"/>
      <c r="R196" s="1410" t="str">
        <f>IF(AND(H196="",I196="",J196="",K196=""),"",AVERAGE(H196:K196))</f>
        <v/>
      </c>
      <c r="S196" s="1421"/>
      <c r="T196" s="1410" t="str">
        <f>IF(AND(L196="",M196="",N196="",O196=""),"",AVERAGE(L196:O196))</f>
        <v/>
      </c>
      <c r="U196" s="1422"/>
    </row>
    <row r="197" spans="2:21" ht="25.5" customHeight="1">
      <c r="B197" s="1414">
        <v>28</v>
      </c>
      <c r="C197" s="1415" t="s">
        <v>298</v>
      </c>
      <c r="D197" s="1416"/>
      <c r="E197" s="1417"/>
      <c r="F197" s="1417"/>
      <c r="G197" s="1417"/>
      <c r="H197" s="1418"/>
      <c r="I197" s="1417"/>
      <c r="J197" s="1417"/>
      <c r="K197" s="1419"/>
      <c r="L197" s="1417"/>
      <c r="M197" s="1417"/>
      <c r="N197" s="1417"/>
      <c r="O197" s="1417"/>
      <c r="P197" s="1423" t="str">
        <f t="shared" ref="P197:P198" si="96">IF(AND(D197="",E197="",F197="",G197=""),"",AVERAGE(D197:G197))</f>
        <v/>
      </c>
      <c r="Q197" s="1424"/>
      <c r="R197" s="1425" t="str">
        <f t="shared" ref="R197:R198" si="97">IF(AND(H197="",I197="",J197="",K197=""),"",AVERAGE(H197:K197))</f>
        <v/>
      </c>
      <c r="S197" s="1424"/>
      <c r="T197" s="1425" t="str">
        <f>IF(AND(L197="",M197="",N197="",O197=""),"",AVERAGE(L197:O197))</f>
        <v/>
      </c>
      <c r="U197" s="1426"/>
    </row>
    <row r="198" spans="2:21" ht="25.5" customHeight="1">
      <c r="B198" s="1414">
        <v>29</v>
      </c>
      <c r="C198" s="1415"/>
      <c r="D198" s="1416"/>
      <c r="E198" s="1417"/>
      <c r="F198" s="1417"/>
      <c r="G198" s="1417"/>
      <c r="H198" s="1418"/>
      <c r="I198" s="1417"/>
      <c r="J198" s="1417"/>
      <c r="K198" s="1419"/>
      <c r="L198" s="1417"/>
      <c r="M198" s="1417"/>
      <c r="N198" s="1417"/>
      <c r="O198" s="1417"/>
      <c r="P198" s="1427" t="str">
        <f t="shared" si="96"/>
        <v/>
      </c>
      <c r="Q198" s="1424"/>
      <c r="R198" s="1428" t="str">
        <f t="shared" si="97"/>
        <v/>
      </c>
      <c r="S198" s="1424"/>
      <c r="T198" s="1428" t="str">
        <f t="shared" ref="T198" si="98">IF(AND(L198="",M198="",N198="",O198=""),"",AVERAGE(L198:O198))</f>
        <v/>
      </c>
      <c r="U198" s="1426"/>
    </row>
    <row r="199" spans="2:21" ht="25.5" customHeight="1">
      <c r="B199" s="1414">
        <v>30</v>
      </c>
      <c r="C199" s="1415"/>
      <c r="D199" s="1416"/>
      <c r="E199" s="1417"/>
      <c r="F199" s="1417"/>
      <c r="G199" s="1417"/>
      <c r="H199" s="1418"/>
      <c r="I199" s="1417"/>
      <c r="J199" s="1417"/>
      <c r="K199" s="1419"/>
      <c r="L199" s="1417"/>
      <c r="M199" s="1417"/>
      <c r="N199" s="1417"/>
      <c r="O199" s="1417"/>
      <c r="P199" s="1427" t="str">
        <f>IF(AND(D199="",E199="",F199="",G199=""),"",AVERAGE(D199:G199))</f>
        <v/>
      </c>
      <c r="Q199" s="1424"/>
      <c r="R199" s="1428" t="str">
        <f>IF(AND(H199="",I199="",J199="",K199=""),"",AVERAGE(H199:K199))</f>
        <v/>
      </c>
      <c r="S199" s="1424"/>
      <c r="T199" s="1428" t="str">
        <f>IF(AND(L199="",M199="",N199="",O199=""),"",AVERAGE(L199:O199))</f>
        <v/>
      </c>
      <c r="U199" s="1426"/>
    </row>
    <row r="200" spans="2:21" ht="25.5" customHeight="1" thickBot="1">
      <c r="B200" s="1451">
        <v>31</v>
      </c>
      <c r="C200" s="1452"/>
      <c r="D200" s="1453"/>
      <c r="E200" s="1454"/>
      <c r="F200" s="1454"/>
      <c r="G200" s="1454"/>
      <c r="H200" s="1455"/>
      <c r="I200" s="1454"/>
      <c r="J200" s="1454"/>
      <c r="K200" s="1456"/>
      <c r="L200" s="1454"/>
      <c r="M200" s="1454"/>
      <c r="N200" s="1454"/>
      <c r="O200" s="1454"/>
      <c r="P200" s="1427" t="str">
        <f>IF(AND(D200="",E200="",F200="",G200=""),"",AVERAGE(D200:G200))</f>
        <v/>
      </c>
      <c r="Q200" s="1458"/>
      <c r="R200" s="1435" t="str">
        <f>IF(AND(H200="",I200="",J200="",K200=""),"",AVERAGE(H200:K200))</f>
        <v/>
      </c>
      <c r="S200" s="1458"/>
      <c r="T200" s="1435" t="str">
        <f>IF(AND(L200="",M200="",N200="",O200=""),"",AVERAGE(L200:O200))</f>
        <v/>
      </c>
      <c r="U200" s="1731"/>
    </row>
    <row r="201" spans="2:21" ht="25.5" customHeight="1" thickTop="1">
      <c r="B201" s="1403">
        <v>1</v>
      </c>
      <c r="C201" s="1404" t="s">
        <v>299</v>
      </c>
      <c r="D201" s="1405"/>
      <c r="E201" s="1406"/>
      <c r="F201" s="1406"/>
      <c r="G201" s="1406"/>
      <c r="H201" s="1407"/>
      <c r="I201" s="1406"/>
      <c r="J201" s="1406"/>
      <c r="K201" s="1408"/>
      <c r="L201" s="1406"/>
      <c r="M201" s="1406"/>
      <c r="N201" s="1406"/>
      <c r="O201" s="1406"/>
      <c r="P201" s="1445" t="str">
        <f>IF(AND(D201="",E201="",F201="",G201=""),"",AVERAGE(D201:G201))</f>
        <v/>
      </c>
      <c r="Q201" s="1725" t="e">
        <v>#N/A</v>
      </c>
      <c r="R201" s="1412" t="str">
        <f>IF(AND(H201="",I201="",J201="",K201=""),"",AVERAGE(H201:K201))</f>
        <v/>
      </c>
      <c r="S201" s="1725" t="e">
        <v>#N/A</v>
      </c>
      <c r="T201" s="1412" t="str">
        <f>IF(AND(L201="",M201="",N201="",O201=""),"",AVERAGE(L201:O201))</f>
        <v/>
      </c>
      <c r="U201" s="1729" t="e">
        <v>#N/A</v>
      </c>
    </row>
    <row r="202" spans="2:21" ht="25.5" customHeight="1">
      <c r="B202" s="1414">
        <v>2</v>
      </c>
      <c r="C202" s="1415"/>
      <c r="D202" s="1416"/>
      <c r="E202" s="1417"/>
      <c r="F202" s="1417"/>
      <c r="G202" s="1417"/>
      <c r="H202" s="1418"/>
      <c r="I202" s="1417"/>
      <c r="J202" s="1417"/>
      <c r="K202" s="1419"/>
      <c r="L202" s="1417"/>
      <c r="M202" s="1417"/>
      <c r="N202" s="1417"/>
      <c r="O202" s="1417"/>
      <c r="P202" s="1420" t="str">
        <f>IF(AND(D202="",E202="",F202="",G202=""),"",AVERAGE(D202:G202))</f>
        <v/>
      </c>
      <c r="Q202" s="1421"/>
      <c r="R202" s="1410" t="str">
        <f>IF(AND(H202="",I202="",J202="",K202=""),"",AVERAGE(H202:K202))</f>
        <v/>
      </c>
      <c r="S202" s="1421"/>
      <c r="T202" s="1410" t="str">
        <f>IF(AND(L202="",M202="",N202="",O202=""),"",AVERAGE(L202:O202))</f>
        <v/>
      </c>
      <c r="U202" s="1422"/>
    </row>
    <row r="203" spans="2:21" ht="25.5" customHeight="1">
      <c r="B203" s="1414">
        <v>3</v>
      </c>
      <c r="C203" s="1415"/>
      <c r="D203" s="1416"/>
      <c r="E203" s="1417"/>
      <c r="F203" s="1417"/>
      <c r="G203" s="1417"/>
      <c r="H203" s="1418"/>
      <c r="I203" s="1417"/>
      <c r="J203" s="1417"/>
      <c r="K203" s="1419"/>
      <c r="L203" s="1417"/>
      <c r="M203" s="1417"/>
      <c r="N203" s="1417"/>
      <c r="O203" s="1417"/>
      <c r="P203" s="1423" t="str">
        <f t="shared" ref="P203:P204" si="99">IF(AND(D203="",E203="",F203="",G203=""),"",AVERAGE(D203:G203))</f>
        <v/>
      </c>
      <c r="Q203" s="1424"/>
      <c r="R203" s="1425" t="str">
        <f t="shared" ref="R203:R204" si="100">IF(AND(H203="",I203="",J203="",K203=""),"",AVERAGE(H203:K203))</f>
        <v/>
      </c>
      <c r="S203" s="1424"/>
      <c r="T203" s="1425" t="str">
        <f>IF(AND(L203="",M203="",N203="",O203=""),"",AVERAGE(L203:O203))</f>
        <v/>
      </c>
      <c r="U203" s="1426"/>
    </row>
    <row r="204" spans="2:21" ht="25.5" customHeight="1">
      <c r="B204" s="1414">
        <v>4</v>
      </c>
      <c r="C204" s="1415"/>
      <c r="D204" s="1416"/>
      <c r="E204" s="1417"/>
      <c r="F204" s="1417"/>
      <c r="G204" s="1417"/>
      <c r="H204" s="1418"/>
      <c r="I204" s="1417"/>
      <c r="J204" s="1417"/>
      <c r="K204" s="1419"/>
      <c r="L204" s="1417"/>
      <c r="M204" s="1417"/>
      <c r="N204" s="1417"/>
      <c r="O204" s="1417"/>
      <c r="P204" s="1427" t="str">
        <f t="shared" si="99"/>
        <v/>
      </c>
      <c r="Q204" s="1424"/>
      <c r="R204" s="1428" t="str">
        <f t="shared" si="100"/>
        <v/>
      </c>
      <c r="S204" s="1424"/>
      <c r="T204" s="1428" t="str">
        <f t="shared" ref="T204" si="101">IF(AND(L204="",M204="",N204="",O204=""),"",AVERAGE(L204:O204))</f>
        <v/>
      </c>
      <c r="U204" s="1426"/>
    </row>
    <row r="205" spans="2:21" ht="25.5" customHeight="1" thickBot="1">
      <c r="B205" s="1460">
        <v>5</v>
      </c>
      <c r="C205" s="1461"/>
      <c r="D205" s="1462"/>
      <c r="E205" s="1463"/>
      <c r="F205" s="1463"/>
      <c r="G205" s="1463"/>
      <c r="H205" s="1464"/>
      <c r="I205" s="1463"/>
      <c r="J205" s="1463"/>
      <c r="K205" s="1465"/>
      <c r="L205" s="1463"/>
      <c r="M205" s="1463"/>
      <c r="N205" s="1463"/>
      <c r="O205" s="1463"/>
      <c r="P205" s="1466" t="str">
        <f>IF(AND(D205="",E205="",F205="",G205=""),"",AVERAGE(D205:G205))</f>
        <v/>
      </c>
      <c r="Q205" s="1468"/>
      <c r="R205" s="1467" t="str">
        <f>IF(AND(H205="",I205="",J205="",K205=""),"",AVERAGE(H205:K205))</f>
        <v/>
      </c>
      <c r="S205" s="1468"/>
      <c r="T205" s="1467" t="str">
        <f>IF(AND(L205="",M205="",N205="",O205=""),"",AVERAGE(L205:O205))</f>
        <v/>
      </c>
      <c r="U205" s="1469"/>
    </row>
    <row r="206" spans="2:21" ht="25.5" customHeight="1"/>
    <row r="207" spans="2:21" ht="25.5" customHeight="1" thickBot="1">
      <c r="B207" s="1914" t="s">
        <v>419</v>
      </c>
      <c r="C207" s="1914"/>
      <c r="D207" s="1914"/>
      <c r="E207" s="1914"/>
      <c r="F207" s="1914"/>
      <c r="G207" s="1914"/>
      <c r="H207" s="1242">
        <f>H2</f>
        <v>2026</v>
      </c>
      <c r="I207" s="1242" t="s">
        <v>420</v>
      </c>
      <c r="J207" s="1242">
        <v>8</v>
      </c>
      <c r="K207" s="1242" t="s">
        <v>421</v>
      </c>
      <c r="L207" s="1241"/>
      <c r="M207" s="1241"/>
      <c r="N207" s="1241"/>
      <c r="O207" s="1401"/>
      <c r="P207" s="1401"/>
      <c r="Q207" s="1401"/>
      <c r="R207" s="1401"/>
      <c r="S207" s="1401"/>
      <c r="T207" s="1401"/>
      <c r="U207" s="1401"/>
    </row>
    <row r="208" spans="2:21" ht="25.5" customHeight="1">
      <c r="B208" s="1915"/>
      <c r="C208" s="1918" t="s">
        <v>422</v>
      </c>
      <c r="D208" s="1921" t="s">
        <v>423</v>
      </c>
      <c r="E208" s="1922"/>
      <c r="F208" s="1922"/>
      <c r="G208" s="1923"/>
      <c r="H208" s="1924" t="s">
        <v>424</v>
      </c>
      <c r="I208" s="1922"/>
      <c r="J208" s="1922"/>
      <c r="K208" s="1923"/>
      <c r="L208" s="1924" t="s">
        <v>440</v>
      </c>
      <c r="M208" s="1922"/>
      <c r="N208" s="1922"/>
      <c r="O208" s="1922"/>
      <c r="P208" s="1924" t="s">
        <v>426</v>
      </c>
      <c r="Q208" s="1923"/>
      <c r="R208" s="1922" t="s">
        <v>424</v>
      </c>
      <c r="S208" s="1923"/>
      <c r="T208" s="1922" t="s">
        <v>425</v>
      </c>
      <c r="U208" s="1927"/>
    </row>
    <row r="209" spans="2:21" ht="25.5" customHeight="1">
      <c r="B209" s="1916"/>
      <c r="C209" s="1919"/>
      <c r="D209" s="1239" t="s">
        <v>429</v>
      </c>
      <c r="E209" s="1238" t="s">
        <v>430</v>
      </c>
      <c r="F209" s="1238" t="s">
        <v>431</v>
      </c>
      <c r="G209" s="1237" t="s">
        <v>432</v>
      </c>
      <c r="H209" s="1236" t="s">
        <v>429</v>
      </c>
      <c r="I209" s="1238" t="s">
        <v>430</v>
      </c>
      <c r="J209" s="1238" t="s">
        <v>431</v>
      </c>
      <c r="K209" s="1237" t="s">
        <v>432</v>
      </c>
      <c r="L209" s="1235" t="s">
        <v>429</v>
      </c>
      <c r="M209" s="1238" t="s">
        <v>430</v>
      </c>
      <c r="N209" s="1238" t="s">
        <v>431</v>
      </c>
      <c r="O209" s="1234" t="s">
        <v>432</v>
      </c>
      <c r="P209" s="1928" t="s">
        <v>433</v>
      </c>
      <c r="Q209" s="1930" t="s">
        <v>434</v>
      </c>
      <c r="R209" s="1932" t="s">
        <v>435</v>
      </c>
      <c r="S209" s="1930" t="s">
        <v>434</v>
      </c>
      <c r="T209" s="1932" t="s">
        <v>435</v>
      </c>
      <c r="U209" s="1925" t="s">
        <v>441</v>
      </c>
    </row>
    <row r="210" spans="2:21" ht="25.5" customHeight="1" thickBot="1">
      <c r="B210" s="1917"/>
      <c r="C210" s="1920"/>
      <c r="D210" s="1233">
        <v>1</v>
      </c>
      <c r="E210" s="1232">
        <v>2</v>
      </c>
      <c r="F210" s="1232">
        <v>3</v>
      </c>
      <c r="G210" s="1231">
        <v>4</v>
      </c>
      <c r="H210" s="1230">
        <v>1</v>
      </c>
      <c r="I210" s="1232">
        <v>2</v>
      </c>
      <c r="J210" s="1232">
        <v>3</v>
      </c>
      <c r="K210" s="1231">
        <v>4</v>
      </c>
      <c r="L210" s="1229">
        <v>1</v>
      </c>
      <c r="M210" s="1232">
        <v>2</v>
      </c>
      <c r="N210" s="1232">
        <v>3</v>
      </c>
      <c r="O210" s="1232">
        <v>4</v>
      </c>
      <c r="P210" s="1929"/>
      <c r="Q210" s="1931"/>
      <c r="R210" s="1933"/>
      <c r="S210" s="1931"/>
      <c r="T210" s="1933"/>
      <c r="U210" s="1926"/>
    </row>
    <row r="211" spans="2:21" ht="25.5" customHeight="1">
      <c r="B211" s="1403">
        <v>1</v>
      </c>
      <c r="C211" s="1404"/>
      <c r="D211" s="1799"/>
      <c r="E211" s="1800"/>
      <c r="F211" s="1800"/>
      <c r="G211" s="1800"/>
      <c r="H211" s="1801"/>
      <c r="I211" s="1800"/>
      <c r="J211" s="1800"/>
      <c r="K211" s="1802"/>
      <c r="L211" s="1800"/>
      <c r="M211" s="1800"/>
      <c r="N211" s="1800"/>
      <c r="O211" s="1802"/>
      <c r="P211" s="1409" t="str">
        <f>IF(AND(D211="",E211="",F211="",G211=""),"",AVERAGE(D211:G211))</f>
        <v/>
      </c>
      <c r="Q211" s="1411" t="s">
        <v>437</v>
      </c>
      <c r="R211" s="1412" t="str">
        <f>IF(AND(H211="",I211="",J211="",K211=""),"",AVERAGE(H211:K211))</f>
        <v/>
      </c>
      <c r="S211" s="1411" t="s">
        <v>438</v>
      </c>
      <c r="T211" s="1412" t="str">
        <f>IF(AND(L211="",M211="",N211="",O211=""),"",AVERAGE(L211:O211))</f>
        <v/>
      </c>
      <c r="U211" s="1413" t="s">
        <v>437</v>
      </c>
    </row>
    <row r="212" spans="2:21" ht="25.5" customHeight="1">
      <c r="B212" s="1414">
        <v>2</v>
      </c>
      <c r="C212" s="1415"/>
      <c r="D212" s="1803"/>
      <c r="E212" s="1804"/>
      <c r="F212" s="1804"/>
      <c r="G212" s="1804"/>
      <c r="H212" s="1805"/>
      <c r="I212" s="1804"/>
      <c r="J212" s="1804"/>
      <c r="K212" s="1806"/>
      <c r="L212" s="1804"/>
      <c r="M212" s="1804"/>
      <c r="N212" s="1804"/>
      <c r="O212" s="1806"/>
      <c r="P212" s="1420" t="str">
        <f>IF(AND(D212="",E212="",F212="",G212=""),"",AVERAGE(D212:G212))</f>
        <v/>
      </c>
      <c r="Q212" s="1421"/>
      <c r="R212" s="1410" t="str">
        <f>IF(AND(H212="",I212="",J212="",K212=""),"",AVERAGE(H212:K212))</f>
        <v/>
      </c>
      <c r="S212" s="1421"/>
      <c r="T212" s="1410" t="str">
        <f>IF(AND(L212="",M212="",N212="",O212=""),"",AVERAGE(L212:O212))</f>
        <v/>
      </c>
      <c r="U212" s="1422"/>
    </row>
    <row r="213" spans="2:21" ht="25.5" customHeight="1">
      <c r="B213" s="1414">
        <v>3</v>
      </c>
      <c r="C213" s="1415"/>
      <c r="D213" s="1803"/>
      <c r="E213" s="1804"/>
      <c r="F213" s="1804"/>
      <c r="G213" s="1804"/>
      <c r="H213" s="1805"/>
      <c r="I213" s="1804"/>
      <c r="J213" s="1804"/>
      <c r="K213" s="1806"/>
      <c r="L213" s="1804"/>
      <c r="M213" s="1804"/>
      <c r="N213" s="1804"/>
      <c r="O213" s="1806"/>
      <c r="P213" s="1423" t="str">
        <f t="shared" ref="P213:P214" si="102">IF(AND(D213="",E213="",F213="",G213=""),"",AVERAGE(D213:G213))</f>
        <v/>
      </c>
      <c r="Q213" s="1424"/>
      <c r="R213" s="1425" t="str">
        <f t="shared" ref="R213:R214" si="103">IF(AND(H213="",I213="",J213="",K213=""),"",AVERAGE(H213:K213))</f>
        <v/>
      </c>
      <c r="S213" s="1424"/>
      <c r="T213" s="1425" t="str">
        <f>IF(AND(L213="",M213="",N213="",O213=""),"",AVERAGE(L213:O213))</f>
        <v/>
      </c>
      <c r="U213" s="1426"/>
    </row>
    <row r="214" spans="2:21" ht="25.5" customHeight="1">
      <c r="B214" s="1414">
        <v>4</v>
      </c>
      <c r="C214" s="1415"/>
      <c r="D214" s="1803"/>
      <c r="E214" s="1804"/>
      <c r="F214" s="1804"/>
      <c r="G214" s="1804"/>
      <c r="H214" s="1805"/>
      <c r="I214" s="1804"/>
      <c r="J214" s="1804"/>
      <c r="K214" s="1806"/>
      <c r="L214" s="1804"/>
      <c r="M214" s="1804"/>
      <c r="N214" s="1804"/>
      <c r="O214" s="1806"/>
      <c r="P214" s="1427" t="str">
        <f t="shared" si="102"/>
        <v/>
      </c>
      <c r="Q214" s="1424"/>
      <c r="R214" s="1428" t="str">
        <f t="shared" si="103"/>
        <v/>
      </c>
      <c r="S214" s="1424"/>
      <c r="T214" s="1428" t="str">
        <f t="shared" ref="T214" si="104">IF(AND(L214="",M214="",N214="",O214=""),"",AVERAGE(L214:O214))</f>
        <v/>
      </c>
      <c r="U214" s="1426"/>
    </row>
    <row r="215" spans="2:21" ht="25.5" customHeight="1" thickBot="1">
      <c r="B215" s="1429">
        <v>5</v>
      </c>
      <c r="C215" s="1430"/>
      <c r="D215" s="1807"/>
      <c r="E215" s="1808"/>
      <c r="F215" s="1808"/>
      <c r="G215" s="1808"/>
      <c r="H215" s="1809"/>
      <c r="I215" s="1808"/>
      <c r="J215" s="1808"/>
      <c r="K215" s="1810"/>
      <c r="L215" s="1808"/>
      <c r="M215" s="1808"/>
      <c r="N215" s="1808"/>
      <c r="O215" s="1810"/>
      <c r="P215" s="1435" t="str">
        <f>IF(AND(D215="",E215="",F215="",G215=""),"",AVERAGE(D215:G215))</f>
        <v/>
      </c>
      <c r="Q215" s="1436"/>
      <c r="R215" s="1437" t="str">
        <f>IF(AND(H215="",I215="",J215="",K215=""),"",AVERAGE(H215:K215))</f>
        <v/>
      </c>
      <c r="S215" s="1436"/>
      <c r="T215" s="1437" t="str">
        <f>IF(AND(L215="",M215="",N215="",O215=""),"",AVERAGE(L215:O215))</f>
        <v/>
      </c>
      <c r="U215" s="1438"/>
    </row>
    <row r="216" spans="2:21" ht="25.5" customHeight="1" thickTop="1">
      <c r="B216" s="1439">
        <v>6</v>
      </c>
      <c r="C216" s="1440" t="s">
        <v>294</v>
      </c>
      <c r="D216" s="1441"/>
      <c r="E216" s="1442"/>
      <c r="F216" s="1442"/>
      <c r="G216" s="1442"/>
      <c r="H216" s="1443"/>
      <c r="I216" s="1442"/>
      <c r="J216" s="1442"/>
      <c r="K216" s="1444"/>
      <c r="L216" s="1442"/>
      <c r="M216" s="1442"/>
      <c r="N216" s="1442"/>
      <c r="O216" s="1442"/>
      <c r="P216" s="1445" t="str">
        <f>IF(AND(D216="",E216="",F216="",G216=""),"",AVERAGE(D216:G216))</f>
        <v/>
      </c>
      <c r="Q216" s="1446" t="e">
        <v>#N/A</v>
      </c>
      <c r="R216" s="1447" t="str">
        <f>IF(AND(H216="",I216="",J216="",K216=""),"",AVERAGE(H216:K216))</f>
        <v/>
      </c>
      <c r="S216" s="1448" t="e">
        <v>#N/A</v>
      </c>
      <c r="T216" s="1412" t="str">
        <f>IF(AND(L216="",M216="",N216="",O216=""),"",AVERAGE(L216:O216))</f>
        <v/>
      </c>
      <c r="U216" s="1449" t="e">
        <v>#N/A</v>
      </c>
    </row>
    <row r="217" spans="2:21" ht="25.5" customHeight="1">
      <c r="B217" s="1414">
        <v>7</v>
      </c>
      <c r="C217" s="1415"/>
      <c r="D217" s="1416"/>
      <c r="E217" s="1417"/>
      <c r="F217" s="1417"/>
      <c r="G217" s="1417"/>
      <c r="H217" s="1418"/>
      <c r="I217" s="1417"/>
      <c r="J217" s="1417"/>
      <c r="K217" s="1419"/>
      <c r="L217" s="1417"/>
      <c r="M217" s="1417"/>
      <c r="N217" s="1417"/>
      <c r="O217" s="1417"/>
      <c r="P217" s="1420" t="str">
        <f>IF(AND(D217="",E217="",F217="",G217=""),"",AVERAGE(D217:G217))</f>
        <v/>
      </c>
      <c r="Q217" s="1421"/>
      <c r="R217" s="1410" t="str">
        <f>IF(AND(H217="",I217="",J217="",K217=""),"",AVERAGE(H217:K217))</f>
        <v/>
      </c>
      <c r="S217" s="1421"/>
      <c r="T217" s="1410" t="str">
        <f>IF(AND(L217="",M217="",N217="",O217=""),"",AVERAGE(L217:O217))</f>
        <v/>
      </c>
      <c r="U217" s="1422"/>
    </row>
    <row r="218" spans="2:21" ht="25.5" customHeight="1">
      <c r="B218" s="1414">
        <v>8</v>
      </c>
      <c r="C218" s="1415"/>
      <c r="D218" s="1416"/>
      <c r="E218" s="1417"/>
      <c r="F218" s="1417"/>
      <c r="G218" s="1417"/>
      <c r="H218" s="1418"/>
      <c r="I218" s="1417"/>
      <c r="J218" s="1417"/>
      <c r="K218" s="1419"/>
      <c r="L218" s="1417"/>
      <c r="M218" s="1417"/>
      <c r="N218" s="1417"/>
      <c r="O218" s="1417"/>
      <c r="P218" s="1423" t="str">
        <f t="shared" ref="P218:P219" si="105">IF(AND(D218="",E218="",F218="",G218=""),"",AVERAGE(D218:G218))</f>
        <v/>
      </c>
      <c r="Q218" s="1424"/>
      <c r="R218" s="1425" t="str">
        <f t="shared" ref="R218:R219" si="106">IF(AND(H218="",I218="",J218="",K218=""),"",AVERAGE(H218:K218))</f>
        <v/>
      </c>
      <c r="S218" s="1424"/>
      <c r="T218" s="1425" t="str">
        <f>IF(AND(L218="",M218="",N218="",O218=""),"",AVERAGE(L218:O218))</f>
        <v/>
      </c>
      <c r="U218" s="1426"/>
    </row>
    <row r="219" spans="2:21" ht="25.5" customHeight="1">
      <c r="B219" s="1414">
        <v>9</v>
      </c>
      <c r="C219" s="1415"/>
      <c r="D219" s="1416"/>
      <c r="E219" s="1417"/>
      <c r="F219" s="1417"/>
      <c r="G219" s="1417"/>
      <c r="H219" s="1418"/>
      <c r="I219" s="1417"/>
      <c r="J219" s="1417"/>
      <c r="K219" s="1419"/>
      <c r="L219" s="1417"/>
      <c r="M219" s="1417"/>
      <c r="N219" s="1417"/>
      <c r="O219" s="1450"/>
      <c r="P219" s="1427" t="str">
        <f t="shared" si="105"/>
        <v/>
      </c>
      <c r="Q219" s="1424"/>
      <c r="R219" s="1428" t="str">
        <f t="shared" si="106"/>
        <v/>
      </c>
      <c r="S219" s="1424"/>
      <c r="T219" s="1428" t="str">
        <f t="shared" ref="T219" si="107">IF(AND(L219="",M219="",N219="",O219=""),"",AVERAGE(L219:O219))</f>
        <v/>
      </c>
      <c r="U219" s="1426"/>
    </row>
    <row r="220" spans="2:21" ht="25.5" customHeight="1" thickBot="1">
      <c r="B220" s="1451">
        <v>10</v>
      </c>
      <c r="C220" s="1452"/>
      <c r="D220" s="1453"/>
      <c r="E220" s="1454"/>
      <c r="F220" s="1454"/>
      <c r="G220" s="1454"/>
      <c r="H220" s="1455"/>
      <c r="I220" s="1454"/>
      <c r="J220" s="1454"/>
      <c r="K220" s="1456"/>
      <c r="L220" s="1454"/>
      <c r="M220" s="1454"/>
      <c r="N220" s="1454"/>
      <c r="O220" s="1454"/>
      <c r="P220" s="1435" t="str">
        <f>IF(AND(D220="",E220="",F220="",G220=""),"",AVERAGE(D220:G220))</f>
        <v/>
      </c>
      <c r="Q220" s="1436"/>
      <c r="R220" s="1437" t="str">
        <f>IF(AND(H220="",I220="",J220="",K220=""),"",AVERAGE(H220:K220))</f>
        <v/>
      </c>
      <c r="S220" s="1436"/>
      <c r="T220" s="1437" t="str">
        <f>IF(AND(L220="",M220="",N220="",O220=""),"",AVERAGE(L220:O220))</f>
        <v/>
      </c>
      <c r="U220" s="1438"/>
    </row>
    <row r="221" spans="2:21" ht="25.5" customHeight="1" thickTop="1">
      <c r="B221" s="1403">
        <v>11</v>
      </c>
      <c r="C221" s="1404"/>
      <c r="D221" s="1405"/>
      <c r="E221" s="1406"/>
      <c r="F221" s="1406"/>
      <c r="G221" s="1406"/>
      <c r="H221" s="1407"/>
      <c r="I221" s="1406"/>
      <c r="J221" s="1406"/>
      <c r="K221" s="1408"/>
      <c r="L221" s="1406"/>
      <c r="M221" s="1406"/>
      <c r="N221" s="1406"/>
      <c r="O221" s="1406"/>
      <c r="P221" s="1445" t="str">
        <f>IF(AND(D221="",E221="",F221="",G221=""),"",AVERAGE(D221:G221))</f>
        <v/>
      </c>
      <c r="Q221" s="1446" t="e">
        <v>#N/A</v>
      </c>
      <c r="R221" s="1447" t="str">
        <f>IF(AND(H221="",I221="",J221="",K221=""),"",AVERAGE(H221:K221))</f>
        <v/>
      </c>
      <c r="S221" s="1448" t="e">
        <v>#N/A</v>
      </c>
      <c r="T221" s="1412" t="str">
        <f>IF(AND(L221="",M221="",N221="",O221=""),"",AVERAGE(L221:O221))</f>
        <v/>
      </c>
      <c r="U221" s="1449" t="e">
        <v>#N/A</v>
      </c>
    </row>
    <row r="222" spans="2:21" ht="25.5" customHeight="1">
      <c r="B222" s="1414">
        <v>12</v>
      </c>
      <c r="C222" s="1415" t="s">
        <v>295</v>
      </c>
      <c r="D222" s="1416"/>
      <c r="E222" s="1417"/>
      <c r="F222" s="1417"/>
      <c r="G222" s="1417"/>
      <c r="H222" s="1418"/>
      <c r="I222" s="1417"/>
      <c r="J222" s="1417"/>
      <c r="K222" s="1419"/>
      <c r="L222" s="1417"/>
      <c r="M222" s="1417"/>
      <c r="N222" s="1417"/>
      <c r="O222" s="1417"/>
      <c r="P222" s="1420" t="str">
        <f>IF(AND(D222="",E222="",F222="",G222=""),"",AVERAGE(D222:G222))</f>
        <v/>
      </c>
      <c r="Q222" s="1421"/>
      <c r="R222" s="1410" t="str">
        <f>IF(AND(H222="",I222="",J222="",K222=""),"",AVERAGE(H222:K222))</f>
        <v/>
      </c>
      <c r="S222" s="1421"/>
      <c r="T222" s="1410" t="str">
        <f>IF(AND(L222="",M222="",N222="",O222=""),"",AVERAGE(L222:O222))</f>
        <v/>
      </c>
      <c r="U222" s="1422"/>
    </row>
    <row r="223" spans="2:21" ht="25.5" customHeight="1">
      <c r="B223" s="1414">
        <v>13</v>
      </c>
      <c r="C223" s="1415"/>
      <c r="D223" s="1416"/>
      <c r="E223" s="1417"/>
      <c r="F223" s="1417"/>
      <c r="G223" s="1417"/>
      <c r="H223" s="1418"/>
      <c r="I223" s="1417"/>
      <c r="J223" s="1417"/>
      <c r="K223" s="1419"/>
      <c r="L223" s="1417"/>
      <c r="M223" s="1417"/>
      <c r="N223" s="1417"/>
      <c r="O223" s="1417"/>
      <c r="P223" s="1423" t="str">
        <f t="shared" ref="P223:P224" si="108">IF(AND(D223="",E223="",F223="",G223=""),"",AVERAGE(D223:G223))</f>
        <v/>
      </c>
      <c r="Q223" s="1424"/>
      <c r="R223" s="1425" t="str">
        <f t="shared" ref="R223:R224" si="109">IF(AND(H223="",I223="",J223="",K223=""),"",AVERAGE(H223:K223))</f>
        <v/>
      </c>
      <c r="S223" s="1424"/>
      <c r="T223" s="1425" t="str">
        <f>IF(AND(L223="",M223="",N223="",O223=""),"",AVERAGE(L223:O223))</f>
        <v/>
      </c>
      <c r="U223" s="1426"/>
    </row>
    <row r="224" spans="2:21" ht="25.5" customHeight="1">
      <c r="B224" s="1414">
        <v>14</v>
      </c>
      <c r="C224" s="1415"/>
      <c r="D224" s="1416"/>
      <c r="E224" s="1417"/>
      <c r="F224" s="1417"/>
      <c r="G224" s="1417"/>
      <c r="H224" s="1418"/>
      <c r="I224" s="1417"/>
      <c r="J224" s="1417"/>
      <c r="K224" s="1419"/>
      <c r="L224" s="1417"/>
      <c r="M224" s="1417"/>
      <c r="N224" s="1417"/>
      <c r="O224" s="1417"/>
      <c r="P224" s="1427" t="str">
        <f t="shared" si="108"/>
        <v/>
      </c>
      <c r="Q224" s="1424"/>
      <c r="R224" s="1428" t="str">
        <f t="shared" si="109"/>
        <v/>
      </c>
      <c r="S224" s="1424"/>
      <c r="T224" s="1428" t="str">
        <f t="shared" ref="T224" si="110">IF(AND(L224="",M224="",N224="",O224=""),"",AVERAGE(L224:O224))</f>
        <v/>
      </c>
      <c r="U224" s="1426"/>
    </row>
    <row r="225" spans="2:21" ht="25.5" customHeight="1" thickBot="1">
      <c r="B225" s="1429">
        <v>15</v>
      </c>
      <c r="C225" s="1430"/>
      <c r="D225" s="1431"/>
      <c r="E225" s="1432"/>
      <c r="F225" s="1432"/>
      <c r="G225" s="1432"/>
      <c r="H225" s="1433"/>
      <c r="I225" s="1432"/>
      <c r="J225" s="1432"/>
      <c r="K225" s="1434"/>
      <c r="L225" s="1432"/>
      <c r="M225" s="1432"/>
      <c r="N225" s="1432"/>
      <c r="O225" s="1432"/>
      <c r="P225" s="1435" t="str">
        <f>IF(AND(D225="",E225="",F225="",G225=""),"",AVERAGE(D225:G225))</f>
        <v/>
      </c>
      <c r="Q225" s="1436"/>
      <c r="R225" s="1437" t="str">
        <f>IF(AND(H225="",I225="",J225="",K225=""),"",AVERAGE(H225:K225))</f>
        <v/>
      </c>
      <c r="S225" s="1436"/>
      <c r="T225" s="1437" t="str">
        <f>IF(AND(L225="",M225="",N225="",O225=""),"",AVERAGE(L225:O225))</f>
        <v/>
      </c>
      <c r="U225" s="1438"/>
    </row>
    <row r="226" spans="2:21" ht="25.5" customHeight="1" thickTop="1">
      <c r="B226" s="1439">
        <v>16</v>
      </c>
      <c r="C226" s="1440"/>
      <c r="D226" s="1441"/>
      <c r="E226" s="1442"/>
      <c r="F226" s="1442"/>
      <c r="G226" s="1442"/>
      <c r="H226" s="1443"/>
      <c r="I226" s="1442"/>
      <c r="J226" s="1442"/>
      <c r="K226" s="1444"/>
      <c r="L226" s="1442"/>
      <c r="M226" s="1442"/>
      <c r="N226" s="1442"/>
      <c r="O226" s="1442"/>
      <c r="P226" s="1445" t="str">
        <f>IF(AND(D226="",E226="",F226="",G226=""),"",AVERAGE(D226:G226))</f>
        <v/>
      </c>
      <c r="Q226" s="1725" t="e">
        <v>#N/A</v>
      </c>
      <c r="R226" s="1447" t="str">
        <f>IF(AND(H226="",I226="",J226="",K226=""),"",AVERAGE(H226:K226))</f>
        <v/>
      </c>
      <c r="S226" s="1725" t="e">
        <v>#N/A</v>
      </c>
      <c r="T226" s="1412" t="str">
        <f>IF(AND(L226="",M226="",N226="",O226=""),"",AVERAGE(L226:O226))</f>
        <v/>
      </c>
      <c r="U226" s="1729" t="e">
        <v>#N/A</v>
      </c>
    </row>
    <row r="227" spans="2:21" ht="25.5" customHeight="1">
      <c r="B227" s="1414">
        <v>17</v>
      </c>
      <c r="C227" s="1415"/>
      <c r="D227" s="1416"/>
      <c r="E227" s="1417"/>
      <c r="F227" s="1417"/>
      <c r="G227" s="1417"/>
      <c r="H227" s="1418"/>
      <c r="I227" s="1417"/>
      <c r="J227" s="1417"/>
      <c r="K227" s="1419"/>
      <c r="L227" s="1417"/>
      <c r="M227" s="1417"/>
      <c r="N227" s="1417"/>
      <c r="O227" s="1417"/>
      <c r="P227" s="1420" t="str">
        <f>IF(AND(D227="",E227="",F227="",G227=""),"",AVERAGE(D227:G227))</f>
        <v/>
      </c>
      <c r="Q227" s="1421"/>
      <c r="R227" s="1410" t="str">
        <f>IF(AND(H227="",I227="",J227="",K227=""),"",AVERAGE(H227:K227))</f>
        <v/>
      </c>
      <c r="S227" s="1421"/>
      <c r="T227" s="1410" t="str">
        <f>IF(AND(L227="",M227="",N227="",O227=""),"",AVERAGE(L227:O227))</f>
        <v/>
      </c>
      <c r="U227" s="1422"/>
    </row>
    <row r="228" spans="2:21" ht="25.5" customHeight="1">
      <c r="B228" s="1414">
        <v>18</v>
      </c>
      <c r="C228" s="1415" t="s">
        <v>296</v>
      </c>
      <c r="D228" s="1416"/>
      <c r="E228" s="1417"/>
      <c r="F228" s="1417"/>
      <c r="G228" s="1417"/>
      <c r="H228" s="1418"/>
      <c r="I228" s="1417"/>
      <c r="J228" s="1417"/>
      <c r="K228" s="1419"/>
      <c r="L228" s="1417"/>
      <c r="M228" s="1417"/>
      <c r="N228" s="1417"/>
      <c r="O228" s="1417"/>
      <c r="P228" s="1423" t="str">
        <f t="shared" ref="P228:P229" si="111">IF(AND(D228="",E228="",F228="",G228=""),"",AVERAGE(D228:G228))</f>
        <v/>
      </c>
      <c r="Q228" s="1424"/>
      <c r="R228" s="1425" t="str">
        <f t="shared" ref="R228:R229" si="112">IF(AND(H228="",I228="",J228="",K228=""),"",AVERAGE(H228:K228))</f>
        <v/>
      </c>
      <c r="S228" s="1424"/>
      <c r="T228" s="1425" t="str">
        <f>IF(AND(L228="",M228="",N228="",O228=""),"",AVERAGE(L228:O228))</f>
        <v/>
      </c>
      <c r="U228" s="1426"/>
    </row>
    <row r="229" spans="2:21" ht="25.5" customHeight="1">
      <c r="B229" s="1414">
        <v>19</v>
      </c>
      <c r="C229" s="1415"/>
      <c r="D229" s="1416"/>
      <c r="E229" s="1417"/>
      <c r="F229" s="1417"/>
      <c r="G229" s="1417"/>
      <c r="H229" s="1418"/>
      <c r="I229" s="1417"/>
      <c r="J229" s="1417"/>
      <c r="K229" s="1419"/>
      <c r="L229" s="1417"/>
      <c r="M229" s="1417"/>
      <c r="N229" s="1417"/>
      <c r="O229" s="1417"/>
      <c r="P229" s="1427" t="str">
        <f t="shared" si="111"/>
        <v/>
      </c>
      <c r="Q229" s="1424"/>
      <c r="R229" s="1428" t="str">
        <f t="shared" si="112"/>
        <v/>
      </c>
      <c r="S229" s="1424"/>
      <c r="T229" s="1428" t="str">
        <f t="shared" ref="T229" si="113">IF(AND(L229="",M229="",N229="",O229=""),"",AVERAGE(L229:O229))</f>
        <v/>
      </c>
      <c r="U229" s="1426"/>
    </row>
    <row r="230" spans="2:21" ht="25.5" customHeight="1" thickBot="1">
      <c r="B230" s="1451">
        <v>20</v>
      </c>
      <c r="C230" s="1452"/>
      <c r="D230" s="1453"/>
      <c r="E230" s="1454"/>
      <c r="F230" s="1454"/>
      <c r="G230" s="1454"/>
      <c r="H230" s="1455"/>
      <c r="I230" s="1454"/>
      <c r="J230" s="1454"/>
      <c r="K230" s="1456"/>
      <c r="L230" s="1454"/>
      <c r="M230" s="1454"/>
      <c r="N230" s="1454"/>
      <c r="O230" s="1454"/>
      <c r="P230" s="1435" t="str">
        <f>IF(AND(D230="",E230="",F230="",G230=""),"",AVERAGE(D230:G230))</f>
        <v/>
      </c>
      <c r="Q230" s="1436"/>
      <c r="R230" s="1437" t="str">
        <f>IF(AND(H230="",I230="",J230="",K230=""),"",AVERAGE(H230:K230))</f>
        <v/>
      </c>
      <c r="S230" s="1436"/>
      <c r="T230" s="1437" t="str">
        <f>IF(AND(L230="",M230="",N230="",O230=""),"",AVERAGE(L230:O230))</f>
        <v/>
      </c>
      <c r="U230" s="1438"/>
    </row>
    <row r="231" spans="2:21" ht="25.5" customHeight="1" thickTop="1">
      <c r="B231" s="1403">
        <v>21</v>
      </c>
      <c r="C231" s="1404" t="s">
        <v>297</v>
      </c>
      <c r="D231" s="1405"/>
      <c r="E231" s="1406"/>
      <c r="F231" s="1406"/>
      <c r="G231" s="1406"/>
      <c r="H231" s="1407"/>
      <c r="I231" s="1406"/>
      <c r="J231" s="1406"/>
      <c r="K231" s="1408"/>
      <c r="L231" s="1406"/>
      <c r="M231" s="1406"/>
      <c r="N231" s="1406"/>
      <c r="O231" s="1406"/>
      <c r="P231" s="1445" t="str">
        <f>IF(AND(D231="",E231="",F231="",G231=""),"",AVERAGE(D231:G231))</f>
        <v/>
      </c>
      <c r="Q231" s="1725" t="e">
        <v>#N/A</v>
      </c>
      <c r="R231" s="1447" t="str">
        <f>IF(AND(H231="",I231="",J231="",K231=""),"",AVERAGE(H231:K231))</f>
        <v/>
      </c>
      <c r="S231" s="1725" t="e">
        <v>#N/A</v>
      </c>
      <c r="T231" s="1412" t="str">
        <f>IF(AND(L231="",M231="",N231="",O231=""),"",AVERAGE(L231:O231))</f>
        <v/>
      </c>
      <c r="U231" s="1729" t="e">
        <v>#N/A</v>
      </c>
    </row>
    <row r="232" spans="2:21" ht="25.5" customHeight="1">
      <c r="B232" s="1414">
        <v>22</v>
      </c>
      <c r="C232" s="1415"/>
      <c r="D232" s="1416"/>
      <c r="E232" s="1417"/>
      <c r="F232" s="1417"/>
      <c r="G232" s="1417"/>
      <c r="H232" s="1418"/>
      <c r="I232" s="1417"/>
      <c r="J232" s="1417"/>
      <c r="K232" s="1419"/>
      <c r="L232" s="1417"/>
      <c r="M232" s="1417"/>
      <c r="N232" s="1417"/>
      <c r="O232" s="1417"/>
      <c r="P232" s="1420" t="str">
        <f>IF(AND(D232="",E232="",F232="",G232=""),"",AVERAGE(D232:G232))</f>
        <v/>
      </c>
      <c r="Q232" s="1421"/>
      <c r="R232" s="1410" t="str">
        <f>IF(AND(H232="",I232="",J232="",K232=""),"",AVERAGE(H232:K232))</f>
        <v/>
      </c>
      <c r="S232" s="1421"/>
      <c r="T232" s="1410" t="str">
        <f>IF(AND(L232="",M232="",N232="",O232=""),"",AVERAGE(L232:O232))</f>
        <v/>
      </c>
      <c r="U232" s="1422"/>
    </row>
    <row r="233" spans="2:21" ht="25.5" customHeight="1">
      <c r="B233" s="1414">
        <v>23</v>
      </c>
      <c r="C233" s="1415"/>
      <c r="D233" s="1416"/>
      <c r="E233" s="1417"/>
      <c r="F233" s="1417"/>
      <c r="G233" s="1417"/>
      <c r="H233" s="1418"/>
      <c r="I233" s="1417"/>
      <c r="J233" s="1417"/>
      <c r="K233" s="1419"/>
      <c r="L233" s="1417"/>
      <c r="M233" s="1417"/>
      <c r="N233" s="1417"/>
      <c r="O233" s="1417"/>
      <c r="P233" s="1423" t="str">
        <f t="shared" ref="P233:P234" si="114">IF(AND(D233="",E233="",F233="",G233=""),"",AVERAGE(D233:G233))</f>
        <v/>
      </c>
      <c r="Q233" s="1424"/>
      <c r="R233" s="1425" t="str">
        <f t="shared" ref="R233:R234" si="115">IF(AND(H233="",I233="",J233="",K233=""),"",AVERAGE(H233:K233))</f>
        <v/>
      </c>
      <c r="S233" s="1424"/>
      <c r="T233" s="1425" t="str">
        <f>IF(AND(L233="",M233="",N233="",O233=""),"",AVERAGE(L233:O233))</f>
        <v/>
      </c>
      <c r="U233" s="1426"/>
    </row>
    <row r="234" spans="2:21" ht="25.5" customHeight="1">
      <c r="B234" s="1414">
        <v>24</v>
      </c>
      <c r="C234" s="1415"/>
      <c r="D234" s="1416"/>
      <c r="E234" s="1417"/>
      <c r="F234" s="1417"/>
      <c r="G234" s="1417"/>
      <c r="H234" s="1418"/>
      <c r="I234" s="1417"/>
      <c r="J234" s="1417"/>
      <c r="K234" s="1419"/>
      <c r="L234" s="1417"/>
      <c r="M234" s="1417"/>
      <c r="N234" s="1417"/>
      <c r="O234" s="1417"/>
      <c r="P234" s="1427" t="str">
        <f t="shared" si="114"/>
        <v/>
      </c>
      <c r="Q234" s="1424"/>
      <c r="R234" s="1428" t="str">
        <f t="shared" si="115"/>
        <v/>
      </c>
      <c r="S234" s="1424"/>
      <c r="T234" s="1428" t="str">
        <f t="shared" ref="T234" si="116">IF(AND(L234="",M234="",N234="",O234=""),"",AVERAGE(L234:O234))</f>
        <v/>
      </c>
      <c r="U234" s="1426"/>
    </row>
    <row r="235" spans="2:21" ht="25.5" customHeight="1" thickBot="1">
      <c r="B235" s="1429">
        <v>25</v>
      </c>
      <c r="C235" s="1430"/>
      <c r="D235" s="1431"/>
      <c r="E235" s="1432"/>
      <c r="F235" s="1432"/>
      <c r="G235" s="1432"/>
      <c r="H235" s="1433"/>
      <c r="I235" s="1432"/>
      <c r="J235" s="1432"/>
      <c r="K235" s="1434"/>
      <c r="L235" s="1432"/>
      <c r="M235" s="1432"/>
      <c r="N235" s="1432"/>
      <c r="O235" s="1432"/>
      <c r="P235" s="1435" t="str">
        <f>IF(AND(D235="",E235="",F235="",G235=""),"",AVERAGE(D235:G235))</f>
        <v/>
      </c>
      <c r="Q235" s="1436"/>
      <c r="R235" s="1437" t="str">
        <f>IF(AND(H235="",I235="",J235="",K235=""),"",AVERAGE(H235:K235))</f>
        <v/>
      </c>
      <c r="S235" s="1436"/>
      <c r="T235" s="1437" t="str">
        <f>IF(AND(L235="",M235="",N235="",O235=""),"",AVERAGE(L235:O235))</f>
        <v/>
      </c>
      <c r="U235" s="1438"/>
    </row>
    <row r="236" spans="2:21" ht="25.5" customHeight="1" thickTop="1">
      <c r="B236" s="1439">
        <v>26</v>
      </c>
      <c r="C236" s="1440"/>
      <c r="D236" s="1441"/>
      <c r="E236" s="1442"/>
      <c r="F236" s="1442"/>
      <c r="G236" s="1442"/>
      <c r="H236" s="1443"/>
      <c r="I236" s="1442"/>
      <c r="J236" s="1442"/>
      <c r="K236" s="1444"/>
      <c r="L236" s="1442"/>
      <c r="M236" s="1442"/>
      <c r="N236" s="1442"/>
      <c r="O236" s="1442"/>
      <c r="P236" s="1445" t="str">
        <f>IF(AND(D236="",E236="",F236="",G236=""),"",AVERAGE(D236:G236))</f>
        <v/>
      </c>
      <c r="Q236" s="1446" t="e">
        <v>#N/A</v>
      </c>
      <c r="R236" s="1447" t="str">
        <f>IF(AND(H236="",I236="",J236="",K236=""),"",AVERAGE(H236:K236))</f>
        <v/>
      </c>
      <c r="S236" s="1448" t="e">
        <v>#N/A</v>
      </c>
      <c r="T236" s="1412" t="str">
        <f>IF(AND(L236="",M236="",N236="",O236=""),"",AVERAGE(L236:O236))</f>
        <v/>
      </c>
      <c r="U236" s="1449" t="e">
        <v>#N/A</v>
      </c>
    </row>
    <row r="237" spans="2:21" ht="25.5" customHeight="1">
      <c r="B237" s="1414">
        <v>27</v>
      </c>
      <c r="C237" s="1415" t="s">
        <v>298</v>
      </c>
      <c r="D237" s="1416"/>
      <c r="E237" s="1417"/>
      <c r="F237" s="1417"/>
      <c r="G237" s="1417"/>
      <c r="H237" s="1418"/>
      <c r="I237" s="1417"/>
      <c r="J237" s="1417"/>
      <c r="K237" s="1419"/>
      <c r="L237" s="1417"/>
      <c r="M237" s="1417"/>
      <c r="N237" s="1417"/>
      <c r="O237" s="1417"/>
      <c r="P237" s="1420" t="str">
        <f>IF(AND(D237="",E237="",F237="",G237=""),"",AVERAGE(D237:G237))</f>
        <v/>
      </c>
      <c r="Q237" s="1421"/>
      <c r="R237" s="1410" t="str">
        <f>IF(AND(H237="",I237="",J237="",K237=""),"",AVERAGE(H237:K237))</f>
        <v/>
      </c>
      <c r="S237" s="1421"/>
      <c r="T237" s="1410" t="str">
        <f>IF(AND(L237="",M237="",N237="",O237=""),"",AVERAGE(L237:O237))</f>
        <v/>
      </c>
      <c r="U237" s="1422"/>
    </row>
    <row r="238" spans="2:21" ht="25.5" customHeight="1">
      <c r="B238" s="1414">
        <v>28</v>
      </c>
      <c r="C238" s="1415"/>
      <c r="D238" s="1416"/>
      <c r="E238" s="1417"/>
      <c r="F238" s="1417"/>
      <c r="G238" s="1417"/>
      <c r="H238" s="1418"/>
      <c r="I238" s="1417"/>
      <c r="J238" s="1417"/>
      <c r="K238" s="1419"/>
      <c r="L238" s="1417"/>
      <c r="M238" s="1417"/>
      <c r="N238" s="1417"/>
      <c r="O238" s="1417"/>
      <c r="P238" s="1423" t="str">
        <f t="shared" ref="P238:P239" si="117">IF(AND(D238="",E238="",F238="",G238=""),"",AVERAGE(D238:G238))</f>
        <v/>
      </c>
      <c r="Q238" s="1424"/>
      <c r="R238" s="1425" t="str">
        <f t="shared" ref="R238:R239" si="118">IF(AND(H238="",I238="",J238="",K238=""),"",AVERAGE(H238:K238))</f>
        <v/>
      </c>
      <c r="S238" s="1424"/>
      <c r="T238" s="1425" t="str">
        <f>IF(AND(L238="",M238="",N238="",O238=""),"",AVERAGE(L238:O238))</f>
        <v/>
      </c>
      <c r="U238" s="1426"/>
    </row>
    <row r="239" spans="2:21" ht="25.5" customHeight="1">
      <c r="B239" s="1414">
        <v>29</v>
      </c>
      <c r="C239" s="1415"/>
      <c r="D239" s="1416"/>
      <c r="E239" s="1417"/>
      <c r="F239" s="1417"/>
      <c r="G239" s="1417"/>
      <c r="H239" s="1418"/>
      <c r="I239" s="1417"/>
      <c r="J239" s="1417"/>
      <c r="K239" s="1419"/>
      <c r="L239" s="1417"/>
      <c r="M239" s="1417"/>
      <c r="N239" s="1417"/>
      <c r="O239" s="1417"/>
      <c r="P239" s="1427" t="str">
        <f t="shared" si="117"/>
        <v/>
      </c>
      <c r="Q239" s="1424"/>
      <c r="R239" s="1428" t="str">
        <f t="shared" si="118"/>
        <v/>
      </c>
      <c r="S239" s="1424"/>
      <c r="T239" s="1428" t="str">
        <f t="shared" ref="T239" si="119">IF(AND(L239="",M239="",N239="",O239=""),"",AVERAGE(L239:O239))</f>
        <v/>
      </c>
      <c r="U239" s="1426"/>
    </row>
    <row r="240" spans="2:21" ht="25.5" customHeight="1">
      <c r="B240" s="1414">
        <v>30</v>
      </c>
      <c r="C240" s="1415"/>
      <c r="D240" s="1416"/>
      <c r="E240" s="1417"/>
      <c r="F240" s="1417"/>
      <c r="G240" s="1417"/>
      <c r="H240" s="1418"/>
      <c r="I240" s="1417"/>
      <c r="J240" s="1417"/>
      <c r="K240" s="1419"/>
      <c r="L240" s="1417"/>
      <c r="M240" s="1417"/>
      <c r="N240" s="1417"/>
      <c r="O240" s="1417"/>
      <c r="P240" s="1427" t="str">
        <f>IF(AND(D240="",E240="",F240="",G240=""),"",AVERAGE(D240:G240))</f>
        <v/>
      </c>
      <c r="Q240" s="1424"/>
      <c r="R240" s="1428" t="str">
        <f>IF(AND(H240="",I240="",J240="",K240=""),"",AVERAGE(H240:K240))</f>
        <v/>
      </c>
      <c r="S240" s="1424"/>
      <c r="T240" s="1428" t="str">
        <f>IF(AND(L240="",M240="",N240="",O240=""),"",AVERAGE(L240:O240))</f>
        <v/>
      </c>
      <c r="U240" s="1457"/>
    </row>
    <row r="241" spans="2:21" ht="25.5" customHeight="1" thickBot="1">
      <c r="B241" s="1451">
        <v>31</v>
      </c>
      <c r="C241" s="1452"/>
      <c r="D241" s="1453"/>
      <c r="E241" s="1454"/>
      <c r="F241" s="1454"/>
      <c r="G241" s="1454"/>
      <c r="H241" s="1455"/>
      <c r="I241" s="1454"/>
      <c r="J241" s="1454"/>
      <c r="K241" s="1456"/>
      <c r="L241" s="1454"/>
      <c r="M241" s="1454"/>
      <c r="N241" s="1454"/>
      <c r="O241" s="1454"/>
      <c r="P241" s="1427" t="str">
        <f>IF(AND(D241="",E241="",F241="",G241=""),"",AVERAGE(D241:G241))</f>
        <v/>
      </c>
      <c r="Q241" s="1458"/>
      <c r="R241" s="1435" t="str">
        <f>IF(AND(H241="",I241="",J241="",K241=""),"",AVERAGE(H241:K241))</f>
        <v/>
      </c>
      <c r="S241" s="1458"/>
      <c r="T241" s="1435" t="str">
        <f>IF(AND(L241="",M241="",N241="",O241=""),"",AVERAGE(L241:O241))</f>
        <v/>
      </c>
      <c r="U241" s="1731"/>
    </row>
    <row r="242" spans="2:21" ht="25.5" customHeight="1" thickTop="1">
      <c r="B242" s="1403">
        <v>1</v>
      </c>
      <c r="C242" s="1404" t="s">
        <v>299</v>
      </c>
      <c r="D242" s="1405"/>
      <c r="E242" s="1406"/>
      <c r="F242" s="1406"/>
      <c r="G242" s="1406"/>
      <c r="H242" s="1407"/>
      <c r="I242" s="1406"/>
      <c r="J242" s="1406"/>
      <c r="K242" s="1408"/>
      <c r="L242" s="1406"/>
      <c r="M242" s="1406"/>
      <c r="N242" s="1406"/>
      <c r="O242" s="1406"/>
      <c r="P242" s="1445" t="str">
        <f>IF(AND(D242="",E242="",F242="",G242=""),"",AVERAGE(D242:G242))</f>
        <v/>
      </c>
      <c r="Q242" s="1725" t="e">
        <v>#N/A</v>
      </c>
      <c r="R242" s="1412" t="str">
        <f>IF(AND(H242="",I242="",J242="",K242=""),"",AVERAGE(H242:K242))</f>
        <v/>
      </c>
      <c r="S242" s="1725" t="e">
        <v>#N/A</v>
      </c>
      <c r="T242" s="1412" t="str">
        <f>IF(AND(L242="",M242="",N242="",O242=""),"",AVERAGE(L242:O242))</f>
        <v/>
      </c>
      <c r="U242" s="1729" t="e">
        <v>#N/A</v>
      </c>
    </row>
    <row r="243" spans="2:21" ht="25.5" customHeight="1">
      <c r="B243" s="1414">
        <v>2</v>
      </c>
      <c r="C243" s="1415"/>
      <c r="D243" s="1416"/>
      <c r="E243" s="1417"/>
      <c r="F243" s="1417"/>
      <c r="G243" s="1417"/>
      <c r="H243" s="1418"/>
      <c r="I243" s="1417"/>
      <c r="J243" s="1417"/>
      <c r="K243" s="1419"/>
      <c r="L243" s="1417"/>
      <c r="M243" s="1417"/>
      <c r="N243" s="1417"/>
      <c r="O243" s="1417"/>
      <c r="P243" s="1420" t="str">
        <f>IF(AND(D243="",E243="",F243="",G243=""),"",AVERAGE(D243:G243))</f>
        <v/>
      </c>
      <c r="Q243" s="1421"/>
      <c r="R243" s="1410" t="str">
        <f>IF(AND(H243="",I243="",J243="",K243=""),"",AVERAGE(H243:K243))</f>
        <v/>
      </c>
      <c r="S243" s="1421"/>
      <c r="T243" s="1410" t="str">
        <f>IF(AND(L243="",M243="",N243="",O243=""),"",AVERAGE(L243:O243))</f>
        <v/>
      </c>
      <c r="U243" s="1422"/>
    </row>
    <row r="244" spans="2:21" ht="25.5" customHeight="1">
      <c r="B244" s="1414">
        <v>3</v>
      </c>
      <c r="C244" s="1415"/>
      <c r="D244" s="1416"/>
      <c r="E244" s="1417"/>
      <c r="F244" s="1417"/>
      <c r="G244" s="1417"/>
      <c r="H244" s="1418"/>
      <c r="I244" s="1417"/>
      <c r="J244" s="1417"/>
      <c r="K244" s="1419"/>
      <c r="L244" s="1417"/>
      <c r="M244" s="1417"/>
      <c r="N244" s="1417"/>
      <c r="O244" s="1417"/>
      <c r="P244" s="1423" t="str">
        <f t="shared" ref="P244:P245" si="120">IF(AND(D244="",E244="",F244="",G244=""),"",AVERAGE(D244:G244))</f>
        <v/>
      </c>
      <c r="Q244" s="1424"/>
      <c r="R244" s="1425" t="str">
        <f t="shared" ref="R244:R245" si="121">IF(AND(H244="",I244="",J244="",K244=""),"",AVERAGE(H244:K244))</f>
        <v/>
      </c>
      <c r="S244" s="1424"/>
      <c r="T244" s="1425" t="str">
        <f>IF(AND(L244="",M244="",N244="",O244=""),"",AVERAGE(L244:O244))</f>
        <v/>
      </c>
      <c r="U244" s="1426"/>
    </row>
    <row r="245" spans="2:21" ht="25.5" customHeight="1">
      <c r="B245" s="1414">
        <v>4</v>
      </c>
      <c r="C245" s="1415"/>
      <c r="D245" s="1416"/>
      <c r="E245" s="1417"/>
      <c r="F245" s="1417"/>
      <c r="G245" s="1417"/>
      <c r="H245" s="1418"/>
      <c r="I245" s="1417"/>
      <c r="J245" s="1417"/>
      <c r="K245" s="1419"/>
      <c r="L245" s="1417"/>
      <c r="M245" s="1417"/>
      <c r="N245" s="1417"/>
      <c r="O245" s="1417"/>
      <c r="P245" s="1427" t="str">
        <f t="shared" si="120"/>
        <v/>
      </c>
      <c r="Q245" s="1424"/>
      <c r="R245" s="1428" t="str">
        <f t="shared" si="121"/>
        <v/>
      </c>
      <c r="S245" s="1424"/>
      <c r="T245" s="1428" t="str">
        <f t="shared" ref="T245" si="122">IF(AND(L245="",M245="",N245="",O245=""),"",AVERAGE(L245:O245))</f>
        <v/>
      </c>
      <c r="U245" s="1426"/>
    </row>
    <row r="246" spans="2:21" ht="25.5" customHeight="1" thickBot="1">
      <c r="B246" s="1460">
        <v>5</v>
      </c>
      <c r="C246" s="1461"/>
      <c r="D246" s="1462"/>
      <c r="E246" s="1463"/>
      <c r="F246" s="1463"/>
      <c r="G246" s="1463"/>
      <c r="H246" s="1464"/>
      <c r="I246" s="1463"/>
      <c r="J246" s="1463"/>
      <c r="K246" s="1465"/>
      <c r="L246" s="1463"/>
      <c r="M246" s="1463"/>
      <c r="N246" s="1463"/>
      <c r="O246" s="1463"/>
      <c r="P246" s="1466" t="str">
        <f>IF(AND(D246="",E246="",F246="",G246=""),"",AVERAGE(D246:G246))</f>
        <v/>
      </c>
      <c r="Q246" s="1468"/>
      <c r="R246" s="1467" t="str">
        <f>IF(AND(H246="",I246="",J246="",K246=""),"",AVERAGE(H246:K246))</f>
        <v/>
      </c>
      <c r="S246" s="1468"/>
      <c r="T246" s="1467" t="str">
        <f>IF(AND(L246="",M246="",N246="",O246=""),"",AVERAGE(L246:O246))</f>
        <v/>
      </c>
      <c r="U246" s="1469"/>
    </row>
    <row r="247" spans="2:21" ht="25.5" customHeight="1"/>
    <row r="248" spans="2:21" ht="25.5" customHeight="1" thickBot="1">
      <c r="B248" s="1914" t="s">
        <v>419</v>
      </c>
      <c r="C248" s="1914"/>
      <c r="D248" s="1914"/>
      <c r="E248" s="1914"/>
      <c r="F248" s="1914"/>
      <c r="G248" s="1914"/>
      <c r="H248" s="1242">
        <f>H2</f>
        <v>2026</v>
      </c>
      <c r="I248" s="1242" t="s">
        <v>420</v>
      </c>
      <c r="J248" s="1242">
        <v>9</v>
      </c>
      <c r="K248" s="1242" t="s">
        <v>421</v>
      </c>
      <c r="L248" s="1241"/>
      <c r="M248" s="1241"/>
      <c r="N248" s="1241"/>
      <c r="O248" s="1401"/>
      <c r="P248" s="1401"/>
      <c r="Q248" s="1401"/>
      <c r="R248" s="1401"/>
      <c r="S248" s="1401"/>
      <c r="T248" s="1401"/>
      <c r="U248" s="1401"/>
    </row>
    <row r="249" spans="2:21" ht="25.5" customHeight="1">
      <c r="B249" s="1915"/>
      <c r="C249" s="1918" t="s">
        <v>422</v>
      </c>
      <c r="D249" s="1921" t="s">
        <v>423</v>
      </c>
      <c r="E249" s="1922"/>
      <c r="F249" s="1922"/>
      <c r="G249" s="1923"/>
      <c r="H249" s="1924" t="s">
        <v>424</v>
      </c>
      <c r="I249" s="1922"/>
      <c r="J249" s="1922"/>
      <c r="K249" s="1923"/>
      <c r="L249" s="1924" t="s">
        <v>440</v>
      </c>
      <c r="M249" s="1922"/>
      <c r="N249" s="1922"/>
      <c r="O249" s="1922"/>
      <c r="P249" s="1924" t="s">
        <v>426</v>
      </c>
      <c r="Q249" s="1923"/>
      <c r="R249" s="1922" t="s">
        <v>424</v>
      </c>
      <c r="S249" s="1923"/>
      <c r="T249" s="1922" t="s">
        <v>425</v>
      </c>
      <c r="U249" s="1927"/>
    </row>
    <row r="250" spans="2:21" ht="25.5" customHeight="1">
      <c r="B250" s="1916"/>
      <c r="C250" s="1919"/>
      <c r="D250" s="1239" t="s">
        <v>429</v>
      </c>
      <c r="E250" s="1238" t="s">
        <v>430</v>
      </c>
      <c r="F250" s="1238" t="s">
        <v>431</v>
      </c>
      <c r="G250" s="1237" t="s">
        <v>432</v>
      </c>
      <c r="H250" s="1236" t="s">
        <v>429</v>
      </c>
      <c r="I250" s="1238" t="s">
        <v>430</v>
      </c>
      <c r="J250" s="1238" t="s">
        <v>431</v>
      </c>
      <c r="K250" s="1237" t="s">
        <v>432</v>
      </c>
      <c r="L250" s="1235" t="s">
        <v>429</v>
      </c>
      <c r="M250" s="1238" t="s">
        <v>430</v>
      </c>
      <c r="N250" s="1238" t="s">
        <v>431</v>
      </c>
      <c r="O250" s="1234" t="s">
        <v>432</v>
      </c>
      <c r="P250" s="1928" t="s">
        <v>433</v>
      </c>
      <c r="Q250" s="1930" t="s">
        <v>434</v>
      </c>
      <c r="R250" s="1932" t="s">
        <v>435</v>
      </c>
      <c r="S250" s="1930" t="s">
        <v>434</v>
      </c>
      <c r="T250" s="1932" t="s">
        <v>435</v>
      </c>
      <c r="U250" s="1925" t="s">
        <v>441</v>
      </c>
    </row>
    <row r="251" spans="2:21" ht="25.5" customHeight="1" thickBot="1">
      <c r="B251" s="1917"/>
      <c r="C251" s="1920"/>
      <c r="D251" s="1233">
        <v>1</v>
      </c>
      <c r="E251" s="1232">
        <v>2</v>
      </c>
      <c r="F251" s="1232">
        <v>3</v>
      </c>
      <c r="G251" s="1231">
        <v>4</v>
      </c>
      <c r="H251" s="1230">
        <v>1</v>
      </c>
      <c r="I251" s="1232">
        <v>2</v>
      </c>
      <c r="J251" s="1232">
        <v>3</v>
      </c>
      <c r="K251" s="1231">
        <v>4</v>
      </c>
      <c r="L251" s="1229">
        <v>1</v>
      </c>
      <c r="M251" s="1232">
        <v>2</v>
      </c>
      <c r="N251" s="1232">
        <v>3</v>
      </c>
      <c r="O251" s="1232">
        <v>4</v>
      </c>
      <c r="P251" s="1929"/>
      <c r="Q251" s="1931"/>
      <c r="R251" s="1933"/>
      <c r="S251" s="1931"/>
      <c r="T251" s="1933"/>
      <c r="U251" s="1926"/>
    </row>
    <row r="252" spans="2:21" ht="25.5" customHeight="1">
      <c r="B252" s="1403">
        <v>1</v>
      </c>
      <c r="C252" s="1404"/>
      <c r="D252" s="1799"/>
      <c r="E252" s="1800"/>
      <c r="F252" s="1800"/>
      <c r="G252" s="1800"/>
      <c r="H252" s="1801"/>
      <c r="I252" s="1800"/>
      <c r="J252" s="1800"/>
      <c r="K252" s="1802"/>
      <c r="L252" s="1800"/>
      <c r="M252" s="1800"/>
      <c r="N252" s="1800"/>
      <c r="O252" s="1802"/>
      <c r="P252" s="1409" t="str">
        <f>IF(AND(D252="",E252="",F252="",G252=""),"",AVERAGE(D252:G252))</f>
        <v/>
      </c>
      <c r="Q252" s="1411" t="s">
        <v>437</v>
      </c>
      <c r="R252" s="1412" t="str">
        <f>IF(AND(H252="",I252="",J252="",K252=""),"",AVERAGE(H252:K252))</f>
        <v/>
      </c>
      <c r="S252" s="1411" t="s">
        <v>438</v>
      </c>
      <c r="T252" s="1412" t="str">
        <f>IF(AND(L252="",M252="",N252="",O252=""),"",AVERAGE(L252:O252))</f>
        <v/>
      </c>
      <c r="U252" s="1413" t="s">
        <v>437</v>
      </c>
    </row>
    <row r="253" spans="2:21" ht="25.5" customHeight="1">
      <c r="B253" s="1414">
        <v>2</v>
      </c>
      <c r="C253" s="1415"/>
      <c r="D253" s="1803"/>
      <c r="E253" s="1804"/>
      <c r="F253" s="1804"/>
      <c r="G253" s="1804"/>
      <c r="H253" s="1805"/>
      <c r="I253" s="1804"/>
      <c r="J253" s="1804"/>
      <c r="K253" s="1806"/>
      <c r="L253" s="1804"/>
      <c r="M253" s="1804"/>
      <c r="N253" s="1804"/>
      <c r="O253" s="1806"/>
      <c r="P253" s="1420" t="str">
        <f>IF(AND(D253="",E253="",F253="",G253=""),"",AVERAGE(D253:G253))</f>
        <v/>
      </c>
      <c r="Q253" s="1421"/>
      <c r="R253" s="1410" t="str">
        <f>IF(AND(H253="",I253="",J253="",K253=""),"",AVERAGE(H253:K253))</f>
        <v/>
      </c>
      <c r="S253" s="1421"/>
      <c r="T253" s="1410" t="str">
        <f>IF(AND(L253="",M253="",N253="",O253=""),"",AVERAGE(L253:O253))</f>
        <v/>
      </c>
      <c r="U253" s="1422"/>
    </row>
    <row r="254" spans="2:21" ht="25.5" customHeight="1">
      <c r="B254" s="1414">
        <v>3</v>
      </c>
      <c r="C254" s="1415"/>
      <c r="D254" s="1803"/>
      <c r="E254" s="1804"/>
      <c r="F254" s="1804"/>
      <c r="G254" s="1804"/>
      <c r="H254" s="1805"/>
      <c r="I254" s="1804"/>
      <c r="J254" s="1804"/>
      <c r="K254" s="1806"/>
      <c r="L254" s="1804"/>
      <c r="M254" s="1804"/>
      <c r="N254" s="1804"/>
      <c r="O254" s="1806"/>
      <c r="P254" s="1423" t="str">
        <f t="shared" ref="P254:P255" si="123">IF(AND(D254="",E254="",F254="",G254=""),"",AVERAGE(D254:G254))</f>
        <v/>
      </c>
      <c r="Q254" s="1424"/>
      <c r="R254" s="1425" t="str">
        <f t="shared" ref="R254:R255" si="124">IF(AND(H254="",I254="",J254="",K254=""),"",AVERAGE(H254:K254))</f>
        <v/>
      </c>
      <c r="S254" s="1424"/>
      <c r="T254" s="1425" t="str">
        <f>IF(AND(L254="",M254="",N254="",O254=""),"",AVERAGE(L254:O254))</f>
        <v/>
      </c>
      <c r="U254" s="1426"/>
    </row>
    <row r="255" spans="2:21" ht="25.5" customHeight="1">
      <c r="B255" s="1414">
        <v>4</v>
      </c>
      <c r="C255" s="1415"/>
      <c r="D255" s="1803"/>
      <c r="E255" s="1804"/>
      <c r="F255" s="1804"/>
      <c r="G255" s="1804"/>
      <c r="H255" s="1805"/>
      <c r="I255" s="1804"/>
      <c r="J255" s="1804"/>
      <c r="K255" s="1806"/>
      <c r="L255" s="1804"/>
      <c r="M255" s="1804"/>
      <c r="N255" s="1804"/>
      <c r="O255" s="1806"/>
      <c r="P255" s="1427" t="str">
        <f t="shared" si="123"/>
        <v/>
      </c>
      <c r="Q255" s="1424"/>
      <c r="R255" s="1428" t="str">
        <f t="shared" si="124"/>
        <v/>
      </c>
      <c r="S255" s="1424"/>
      <c r="T255" s="1428" t="str">
        <f t="shared" ref="T255" si="125">IF(AND(L255="",M255="",N255="",O255=""),"",AVERAGE(L255:O255))</f>
        <v/>
      </c>
      <c r="U255" s="1426"/>
    </row>
    <row r="256" spans="2:21" ht="25.5" customHeight="1" thickBot="1">
      <c r="B256" s="1429">
        <v>5</v>
      </c>
      <c r="C256" s="1430"/>
      <c r="D256" s="1807"/>
      <c r="E256" s="1808"/>
      <c r="F256" s="1808"/>
      <c r="G256" s="1808"/>
      <c r="H256" s="1809"/>
      <c r="I256" s="1808"/>
      <c r="J256" s="1808"/>
      <c r="K256" s="1810"/>
      <c r="L256" s="1808"/>
      <c r="M256" s="1808"/>
      <c r="N256" s="1808"/>
      <c r="O256" s="1810"/>
      <c r="P256" s="1435" t="str">
        <f>IF(AND(D256="",E256="",F256="",G256=""),"",AVERAGE(D256:G256))</f>
        <v/>
      </c>
      <c r="Q256" s="1436"/>
      <c r="R256" s="1437" t="str">
        <f>IF(AND(H256="",I256="",J256="",K256=""),"",AVERAGE(H256:K256))</f>
        <v/>
      </c>
      <c r="S256" s="1436"/>
      <c r="T256" s="1437" t="str">
        <f>IF(AND(L256="",M256="",N256="",O256=""),"",AVERAGE(L256:O256))</f>
        <v/>
      </c>
      <c r="U256" s="1438"/>
    </row>
    <row r="257" spans="2:21" ht="25.5" customHeight="1" thickTop="1">
      <c r="B257" s="1439">
        <v>6</v>
      </c>
      <c r="C257" s="1440"/>
      <c r="D257" s="1441"/>
      <c r="E257" s="1442"/>
      <c r="F257" s="1442"/>
      <c r="G257" s="1442"/>
      <c r="H257" s="1443"/>
      <c r="I257" s="1442"/>
      <c r="J257" s="1442"/>
      <c r="K257" s="1444"/>
      <c r="L257" s="1442"/>
      <c r="M257" s="1442"/>
      <c r="N257" s="1442"/>
      <c r="O257" s="1442"/>
      <c r="P257" s="1445" t="str">
        <f>IF(AND(D257="",E257="",F257="",G257=""),"",AVERAGE(D257:G257))</f>
        <v/>
      </c>
      <c r="Q257" s="1446" t="e">
        <v>#N/A</v>
      </c>
      <c r="R257" s="1447" t="str">
        <f>IF(AND(H257="",I257="",J257="",K257=""),"",AVERAGE(H257:K257))</f>
        <v/>
      </c>
      <c r="S257" s="1448" t="e">
        <v>#N/A</v>
      </c>
      <c r="T257" s="1412" t="str">
        <f>IF(AND(L257="",M257="",N257="",O257=""),"",AVERAGE(L257:O257))</f>
        <v/>
      </c>
      <c r="U257" s="1449" t="e">
        <v>#N/A</v>
      </c>
    </row>
    <row r="258" spans="2:21" ht="25.5" customHeight="1">
      <c r="B258" s="1414">
        <v>7</v>
      </c>
      <c r="C258" s="1415"/>
      <c r="D258" s="1416"/>
      <c r="E258" s="1417"/>
      <c r="F258" s="1417"/>
      <c r="G258" s="1417"/>
      <c r="H258" s="1418"/>
      <c r="I258" s="1417"/>
      <c r="J258" s="1417"/>
      <c r="K258" s="1419"/>
      <c r="L258" s="1417"/>
      <c r="M258" s="1417"/>
      <c r="N258" s="1417"/>
      <c r="O258" s="1417"/>
      <c r="P258" s="1420" t="str">
        <f>IF(AND(D258="",E258="",F258="",G258=""),"",AVERAGE(D258:G258))</f>
        <v/>
      </c>
      <c r="Q258" s="1421"/>
      <c r="R258" s="1410" t="str">
        <f>IF(AND(H258="",I258="",J258="",K258=""),"",AVERAGE(H258:K258))</f>
        <v/>
      </c>
      <c r="S258" s="1421"/>
      <c r="T258" s="1410" t="str">
        <f>IF(AND(L258="",M258="",N258="",O258=""),"",AVERAGE(L258:O258))</f>
        <v/>
      </c>
      <c r="U258" s="1422"/>
    </row>
    <row r="259" spans="2:21" ht="25.5" customHeight="1">
      <c r="B259" s="1414">
        <v>8</v>
      </c>
      <c r="C259" s="1415" t="s">
        <v>294</v>
      </c>
      <c r="D259" s="1416"/>
      <c r="E259" s="1417"/>
      <c r="F259" s="1417"/>
      <c r="G259" s="1417"/>
      <c r="H259" s="1418"/>
      <c r="I259" s="1417"/>
      <c r="J259" s="1417"/>
      <c r="K259" s="1419"/>
      <c r="L259" s="1417"/>
      <c r="M259" s="1417"/>
      <c r="N259" s="1417"/>
      <c r="O259" s="1417"/>
      <c r="P259" s="1423" t="str">
        <f t="shared" ref="P259:P260" si="126">IF(AND(D259="",E259="",F259="",G259=""),"",AVERAGE(D259:G259))</f>
        <v/>
      </c>
      <c r="Q259" s="1424"/>
      <c r="R259" s="1425" t="str">
        <f t="shared" ref="R259:R260" si="127">IF(AND(H259="",I259="",J259="",K259=""),"",AVERAGE(H259:K259))</f>
        <v/>
      </c>
      <c r="S259" s="1424"/>
      <c r="T259" s="1425" t="str">
        <f>IF(AND(L259="",M259="",N259="",O259=""),"",AVERAGE(L259:O259))</f>
        <v/>
      </c>
      <c r="U259" s="1426"/>
    </row>
    <row r="260" spans="2:21" ht="25.5" customHeight="1">
      <c r="B260" s="1414">
        <v>9</v>
      </c>
      <c r="C260" s="1415"/>
      <c r="D260" s="1416"/>
      <c r="E260" s="1417"/>
      <c r="F260" s="1417"/>
      <c r="G260" s="1417"/>
      <c r="H260" s="1418"/>
      <c r="I260" s="1417"/>
      <c r="J260" s="1417"/>
      <c r="K260" s="1419"/>
      <c r="L260" s="1417"/>
      <c r="M260" s="1417"/>
      <c r="N260" s="1417"/>
      <c r="O260" s="1450"/>
      <c r="P260" s="1427" t="str">
        <f t="shared" si="126"/>
        <v/>
      </c>
      <c r="Q260" s="1424"/>
      <c r="R260" s="1428" t="str">
        <f t="shared" si="127"/>
        <v/>
      </c>
      <c r="S260" s="1424"/>
      <c r="T260" s="1428" t="str">
        <f t="shared" ref="T260" si="128">IF(AND(L260="",M260="",N260="",O260=""),"",AVERAGE(L260:O260))</f>
        <v/>
      </c>
      <c r="U260" s="1426"/>
    </row>
    <row r="261" spans="2:21" ht="25.5" customHeight="1" thickBot="1">
      <c r="B261" s="1451">
        <v>10</v>
      </c>
      <c r="C261" s="1452"/>
      <c r="D261" s="1453"/>
      <c r="E261" s="1454"/>
      <c r="F261" s="1454"/>
      <c r="G261" s="1454"/>
      <c r="H261" s="1455"/>
      <c r="I261" s="1454"/>
      <c r="J261" s="1454"/>
      <c r="K261" s="1456"/>
      <c r="L261" s="1454"/>
      <c r="M261" s="1454"/>
      <c r="N261" s="1454"/>
      <c r="O261" s="1454"/>
      <c r="P261" s="1435" t="str">
        <f>IF(AND(D261="",E261="",F261="",G261=""),"",AVERAGE(D261:G261))</f>
        <v/>
      </c>
      <c r="Q261" s="1436"/>
      <c r="R261" s="1437" t="str">
        <f>IF(AND(H261="",I261="",J261="",K261=""),"",AVERAGE(H261:K261))</f>
        <v/>
      </c>
      <c r="S261" s="1436"/>
      <c r="T261" s="1437" t="str">
        <f>IF(AND(L261="",M261="",N261="",O261=""),"",AVERAGE(L261:O261))</f>
        <v/>
      </c>
      <c r="U261" s="1438"/>
    </row>
    <row r="262" spans="2:21" ht="25.5" customHeight="1" thickTop="1">
      <c r="B262" s="1403">
        <v>11</v>
      </c>
      <c r="C262" s="1404" t="s">
        <v>295</v>
      </c>
      <c r="D262" s="1405"/>
      <c r="E262" s="1406"/>
      <c r="F262" s="1406"/>
      <c r="G262" s="1406"/>
      <c r="H262" s="1407"/>
      <c r="I262" s="1406"/>
      <c r="J262" s="1406"/>
      <c r="K262" s="1408"/>
      <c r="L262" s="1406"/>
      <c r="M262" s="1406"/>
      <c r="N262" s="1406"/>
      <c r="O262" s="1406"/>
      <c r="P262" s="1445" t="str">
        <f>IF(AND(D262="",E262="",F262="",G262=""),"",AVERAGE(D262:G262))</f>
        <v/>
      </c>
      <c r="Q262" s="1725" t="e">
        <v>#N/A</v>
      </c>
      <c r="R262" s="1447" t="str">
        <f>IF(AND(H262="",I262="",J262="",K262=""),"",AVERAGE(H262:K262))</f>
        <v/>
      </c>
      <c r="S262" s="1724" t="e">
        <v>#N/A</v>
      </c>
      <c r="T262" s="1412" t="str">
        <f>IF(AND(L262="",M262="",N262="",O262=""),"",AVERAGE(L262:O262))</f>
        <v/>
      </c>
      <c r="U262" s="1730" t="e">
        <v>#N/A</v>
      </c>
    </row>
    <row r="263" spans="2:21" ht="25.5" customHeight="1">
      <c r="B263" s="1414">
        <v>12</v>
      </c>
      <c r="C263" s="1415"/>
      <c r="D263" s="1416"/>
      <c r="E263" s="1417"/>
      <c r="F263" s="1417"/>
      <c r="G263" s="1417"/>
      <c r="H263" s="1418"/>
      <c r="I263" s="1417"/>
      <c r="J263" s="1417"/>
      <c r="K263" s="1419"/>
      <c r="L263" s="1417"/>
      <c r="M263" s="1417"/>
      <c r="N263" s="1417"/>
      <c r="O263" s="1417"/>
      <c r="P263" s="1420" t="str">
        <f>IF(AND(D263="",E263="",F263="",G263=""),"",AVERAGE(D263:G263))</f>
        <v/>
      </c>
      <c r="Q263" s="1421"/>
      <c r="R263" s="1410" t="str">
        <f>IF(AND(H263="",I263="",J263="",K263=""),"",AVERAGE(H263:K263))</f>
        <v/>
      </c>
      <c r="S263" s="1421"/>
      <c r="T263" s="1410" t="str">
        <f>IF(AND(L263="",M263="",N263="",O263=""),"",AVERAGE(L263:O263))</f>
        <v/>
      </c>
      <c r="U263" s="1422"/>
    </row>
    <row r="264" spans="2:21" ht="25.5" customHeight="1">
      <c r="B264" s="1414">
        <v>13</v>
      </c>
      <c r="C264" s="1415"/>
      <c r="D264" s="1416"/>
      <c r="E264" s="1417"/>
      <c r="F264" s="1417"/>
      <c r="G264" s="1417"/>
      <c r="H264" s="1418"/>
      <c r="I264" s="1417"/>
      <c r="J264" s="1417"/>
      <c r="K264" s="1419"/>
      <c r="L264" s="1417"/>
      <c r="M264" s="1417"/>
      <c r="N264" s="1417"/>
      <c r="O264" s="1417"/>
      <c r="P264" s="1423" t="str">
        <f t="shared" ref="P264:P265" si="129">IF(AND(D264="",E264="",F264="",G264=""),"",AVERAGE(D264:G264))</f>
        <v/>
      </c>
      <c r="Q264" s="1424"/>
      <c r="R264" s="1425" t="str">
        <f t="shared" ref="R264:R265" si="130">IF(AND(H264="",I264="",J264="",K264=""),"",AVERAGE(H264:K264))</f>
        <v/>
      </c>
      <c r="S264" s="1424"/>
      <c r="T264" s="1425" t="str">
        <f>IF(AND(L264="",M264="",N264="",O264=""),"",AVERAGE(L264:O264))</f>
        <v/>
      </c>
      <c r="U264" s="1426"/>
    </row>
    <row r="265" spans="2:21" ht="25.5" customHeight="1">
      <c r="B265" s="1414">
        <v>14</v>
      </c>
      <c r="C265" s="1415"/>
      <c r="D265" s="1416"/>
      <c r="E265" s="1417"/>
      <c r="F265" s="1417"/>
      <c r="G265" s="1417"/>
      <c r="H265" s="1418"/>
      <c r="I265" s="1417"/>
      <c r="J265" s="1417"/>
      <c r="K265" s="1419"/>
      <c r="L265" s="1417"/>
      <c r="M265" s="1417"/>
      <c r="N265" s="1417"/>
      <c r="O265" s="1417"/>
      <c r="P265" s="1427" t="str">
        <f t="shared" si="129"/>
        <v/>
      </c>
      <c r="Q265" s="1424"/>
      <c r="R265" s="1428" t="str">
        <f t="shared" si="130"/>
        <v/>
      </c>
      <c r="S265" s="1424"/>
      <c r="T265" s="1428" t="str">
        <f t="shared" ref="T265" si="131">IF(AND(L265="",M265="",N265="",O265=""),"",AVERAGE(L265:O265))</f>
        <v/>
      </c>
      <c r="U265" s="1426"/>
    </row>
    <row r="266" spans="2:21" ht="25.5" customHeight="1" thickBot="1">
      <c r="B266" s="1429">
        <v>15</v>
      </c>
      <c r="C266" s="1430"/>
      <c r="D266" s="1431"/>
      <c r="E266" s="1432"/>
      <c r="F266" s="1432"/>
      <c r="G266" s="1432"/>
      <c r="H266" s="1433"/>
      <c r="I266" s="1432"/>
      <c r="J266" s="1432"/>
      <c r="K266" s="1434"/>
      <c r="L266" s="1432"/>
      <c r="M266" s="1432"/>
      <c r="N266" s="1432"/>
      <c r="O266" s="1432"/>
      <c r="P266" s="1435" t="str">
        <f>IF(AND(D266="",E266="",F266="",G266=""),"",AVERAGE(D266:G266))</f>
        <v/>
      </c>
      <c r="Q266" s="1436"/>
      <c r="R266" s="1437" t="str">
        <f>IF(AND(H266="",I266="",J266="",K266=""),"",AVERAGE(H266:K266))</f>
        <v/>
      </c>
      <c r="S266" s="1436"/>
      <c r="T266" s="1437" t="str">
        <f>IF(AND(L266="",M266="",N266="",O266=""),"",AVERAGE(L266:O266))</f>
        <v/>
      </c>
      <c r="U266" s="1438"/>
    </row>
    <row r="267" spans="2:21" ht="25.5" customHeight="1" thickTop="1">
      <c r="B267" s="1439">
        <v>16</v>
      </c>
      <c r="C267" s="1440"/>
      <c r="D267" s="1441"/>
      <c r="E267" s="1442"/>
      <c r="F267" s="1442"/>
      <c r="G267" s="1442"/>
      <c r="H267" s="1443"/>
      <c r="I267" s="1442"/>
      <c r="J267" s="1442"/>
      <c r="K267" s="1444"/>
      <c r="L267" s="1442"/>
      <c r="M267" s="1442"/>
      <c r="N267" s="1442"/>
      <c r="O267" s="1442"/>
      <c r="P267" s="1445" t="str">
        <f>IF(AND(D267="",E267="",F267="",G267=""),"",AVERAGE(D267:G267))</f>
        <v/>
      </c>
      <c r="Q267" s="1446" t="e">
        <v>#N/A</v>
      </c>
      <c r="R267" s="1447" t="str">
        <f>IF(AND(H267="",I267="",J267="",K267=""),"",AVERAGE(H267:K267))</f>
        <v/>
      </c>
      <c r="S267" s="1448" t="e">
        <v>#N/A</v>
      </c>
      <c r="T267" s="1412" t="str">
        <f>IF(AND(L267="",M267="",N267="",O267=""),"",AVERAGE(L267:O267))</f>
        <v/>
      </c>
      <c r="U267" s="1449" t="e">
        <v>#N/A</v>
      </c>
    </row>
    <row r="268" spans="2:21" ht="25.5" customHeight="1">
      <c r="B268" s="1414">
        <v>17</v>
      </c>
      <c r="C268" s="1415" t="s">
        <v>296</v>
      </c>
      <c r="D268" s="1416"/>
      <c r="E268" s="1417"/>
      <c r="F268" s="1417"/>
      <c r="G268" s="1417"/>
      <c r="H268" s="1418"/>
      <c r="I268" s="1417"/>
      <c r="J268" s="1417"/>
      <c r="K268" s="1419"/>
      <c r="L268" s="1417"/>
      <c r="M268" s="1417"/>
      <c r="N268" s="1417"/>
      <c r="O268" s="1417"/>
      <c r="P268" s="1420" t="str">
        <f>IF(AND(D268="",E268="",F268="",G268=""),"",AVERAGE(D268:G268))</f>
        <v/>
      </c>
      <c r="Q268" s="1421"/>
      <c r="R268" s="1410" t="str">
        <f>IF(AND(H268="",I268="",J268="",K268=""),"",AVERAGE(H268:K268))</f>
        <v/>
      </c>
      <c r="S268" s="1421"/>
      <c r="T268" s="1410" t="str">
        <f>IF(AND(L268="",M268="",N268="",O268=""),"",AVERAGE(L268:O268))</f>
        <v/>
      </c>
      <c r="U268" s="1422"/>
    </row>
    <row r="269" spans="2:21" ht="25.5" customHeight="1">
      <c r="B269" s="1414">
        <v>18</v>
      </c>
      <c r="C269" s="1415"/>
      <c r="D269" s="1416"/>
      <c r="E269" s="1417"/>
      <c r="F269" s="1417"/>
      <c r="G269" s="1417"/>
      <c r="H269" s="1418"/>
      <c r="I269" s="1417"/>
      <c r="J269" s="1417"/>
      <c r="K269" s="1419"/>
      <c r="L269" s="1417"/>
      <c r="M269" s="1417"/>
      <c r="N269" s="1417"/>
      <c r="O269" s="1417"/>
      <c r="P269" s="1423" t="str">
        <f t="shared" ref="P269:P270" si="132">IF(AND(D269="",E269="",F269="",G269=""),"",AVERAGE(D269:G269))</f>
        <v/>
      </c>
      <c r="Q269" s="1424"/>
      <c r="R269" s="1425" t="str">
        <f t="shared" ref="R269:R270" si="133">IF(AND(H269="",I269="",J269="",K269=""),"",AVERAGE(H269:K269))</f>
        <v/>
      </c>
      <c r="S269" s="1424"/>
      <c r="T269" s="1425" t="str">
        <f>IF(AND(L269="",M269="",N269="",O269=""),"",AVERAGE(L269:O269))</f>
        <v/>
      </c>
      <c r="U269" s="1426"/>
    </row>
    <row r="270" spans="2:21" ht="25.5" customHeight="1">
      <c r="B270" s="1414">
        <v>19</v>
      </c>
      <c r="C270" s="1415"/>
      <c r="D270" s="1416"/>
      <c r="E270" s="1417"/>
      <c r="F270" s="1417"/>
      <c r="G270" s="1417"/>
      <c r="H270" s="1418"/>
      <c r="I270" s="1417"/>
      <c r="J270" s="1417"/>
      <c r="K270" s="1419"/>
      <c r="L270" s="1417"/>
      <c r="M270" s="1417"/>
      <c r="N270" s="1417"/>
      <c r="O270" s="1417"/>
      <c r="P270" s="1427" t="str">
        <f t="shared" si="132"/>
        <v/>
      </c>
      <c r="Q270" s="1424"/>
      <c r="R270" s="1428" t="str">
        <f t="shared" si="133"/>
        <v/>
      </c>
      <c r="S270" s="1424"/>
      <c r="T270" s="1428" t="str">
        <f t="shared" ref="T270" si="134">IF(AND(L270="",M270="",N270="",O270=""),"",AVERAGE(L270:O270))</f>
        <v/>
      </c>
      <c r="U270" s="1426"/>
    </row>
    <row r="271" spans="2:21" ht="25.5" customHeight="1" thickBot="1">
      <c r="B271" s="1451">
        <v>20</v>
      </c>
      <c r="C271" s="1452"/>
      <c r="D271" s="1453"/>
      <c r="E271" s="1454"/>
      <c r="F271" s="1454"/>
      <c r="G271" s="1454"/>
      <c r="H271" s="1455"/>
      <c r="I271" s="1454"/>
      <c r="J271" s="1454"/>
      <c r="K271" s="1456"/>
      <c r="L271" s="1454"/>
      <c r="M271" s="1454"/>
      <c r="N271" s="1454"/>
      <c r="O271" s="1454"/>
      <c r="P271" s="1435" t="str">
        <f>IF(AND(D271="",E271="",F271="",G271=""),"",AVERAGE(D271:G271))</f>
        <v/>
      </c>
      <c r="Q271" s="1436"/>
      <c r="R271" s="1437" t="str">
        <f>IF(AND(H271="",I271="",J271="",K271=""),"",AVERAGE(H271:K271))</f>
        <v/>
      </c>
      <c r="S271" s="1436"/>
      <c r="T271" s="1437" t="str">
        <f>IF(AND(L271="",M271="",N271="",O271=""),"",AVERAGE(L271:O271))</f>
        <v/>
      </c>
      <c r="U271" s="1438"/>
    </row>
    <row r="272" spans="2:21" ht="25.5" customHeight="1" thickTop="1">
      <c r="B272" s="1403">
        <v>21</v>
      </c>
      <c r="C272" s="1404"/>
      <c r="D272" s="1405"/>
      <c r="E272" s="1406"/>
      <c r="F272" s="1406"/>
      <c r="G272" s="1406"/>
      <c r="H272" s="1407"/>
      <c r="I272" s="1406"/>
      <c r="J272" s="1406"/>
      <c r="K272" s="1408"/>
      <c r="L272" s="1406"/>
      <c r="M272" s="1406"/>
      <c r="N272" s="1406"/>
      <c r="O272" s="1406"/>
      <c r="P272" s="1445" t="str">
        <f>IF(AND(D272="",E272="",F272="",G272=""),"",AVERAGE(D272:G272))</f>
        <v/>
      </c>
      <c r="Q272" s="1725" t="e">
        <v>#N/A</v>
      </c>
      <c r="R272" s="1447" t="str">
        <f>IF(AND(H272="",I272="",J272="",K272=""),"",AVERAGE(H272:K272))</f>
        <v/>
      </c>
      <c r="S272" s="1725" t="e">
        <v>#N/A</v>
      </c>
      <c r="T272" s="1412" t="str">
        <f>IF(AND(L272="",M272="",N272="",O272=""),"",AVERAGE(L272:O272))</f>
        <v/>
      </c>
      <c r="U272" s="1729" t="e">
        <v>#N/A</v>
      </c>
    </row>
    <row r="273" spans="2:21" ht="25.5" customHeight="1">
      <c r="B273" s="1414">
        <v>22</v>
      </c>
      <c r="C273" s="1415" t="s">
        <v>297</v>
      </c>
      <c r="D273" s="1416"/>
      <c r="E273" s="1417"/>
      <c r="F273" s="1417"/>
      <c r="G273" s="1417"/>
      <c r="H273" s="1418"/>
      <c r="I273" s="1417"/>
      <c r="J273" s="1417"/>
      <c r="K273" s="1419"/>
      <c r="L273" s="1417"/>
      <c r="M273" s="1417"/>
      <c r="N273" s="1417"/>
      <c r="O273" s="1417"/>
      <c r="P273" s="1420" t="str">
        <f>IF(AND(D273="",E273="",F273="",G273=""),"",AVERAGE(D273:G273))</f>
        <v/>
      </c>
      <c r="Q273" s="1421"/>
      <c r="R273" s="1410" t="str">
        <f>IF(AND(H273="",I273="",J273="",K273=""),"",AVERAGE(H273:K273))</f>
        <v/>
      </c>
      <c r="S273" s="1421"/>
      <c r="T273" s="1410" t="str">
        <f>IF(AND(L273="",M273="",N273="",O273=""),"",AVERAGE(L273:O273))</f>
        <v/>
      </c>
      <c r="U273" s="1422"/>
    </row>
    <row r="274" spans="2:21" ht="25.5" customHeight="1">
      <c r="B274" s="1414">
        <v>23</v>
      </c>
      <c r="C274" s="1415"/>
      <c r="D274" s="1416"/>
      <c r="E274" s="1417"/>
      <c r="F274" s="1417"/>
      <c r="G274" s="1417"/>
      <c r="H274" s="1418"/>
      <c r="I274" s="1417"/>
      <c r="J274" s="1417"/>
      <c r="K274" s="1419"/>
      <c r="L274" s="1417"/>
      <c r="M274" s="1417"/>
      <c r="N274" s="1417"/>
      <c r="O274" s="1417"/>
      <c r="P274" s="1423" t="str">
        <f t="shared" ref="P274:P275" si="135">IF(AND(D274="",E274="",F274="",G274=""),"",AVERAGE(D274:G274))</f>
        <v/>
      </c>
      <c r="Q274" s="1424"/>
      <c r="R274" s="1425" t="str">
        <f t="shared" ref="R274:R275" si="136">IF(AND(H274="",I274="",J274="",K274=""),"",AVERAGE(H274:K274))</f>
        <v/>
      </c>
      <c r="S274" s="1424"/>
      <c r="T274" s="1425" t="str">
        <f>IF(AND(L274="",M274="",N274="",O274=""),"",AVERAGE(L274:O274))</f>
        <v/>
      </c>
      <c r="U274" s="1426"/>
    </row>
    <row r="275" spans="2:21" ht="25.5" customHeight="1">
      <c r="B275" s="1414">
        <v>24</v>
      </c>
      <c r="C275" s="1415"/>
      <c r="D275" s="1416"/>
      <c r="E275" s="1417"/>
      <c r="F275" s="1417"/>
      <c r="G275" s="1417"/>
      <c r="H275" s="1418"/>
      <c r="I275" s="1417"/>
      <c r="J275" s="1417"/>
      <c r="K275" s="1419"/>
      <c r="L275" s="1417"/>
      <c r="M275" s="1417"/>
      <c r="N275" s="1417"/>
      <c r="O275" s="1417"/>
      <c r="P275" s="1427" t="str">
        <f t="shared" si="135"/>
        <v/>
      </c>
      <c r="Q275" s="1424"/>
      <c r="R275" s="1428" t="str">
        <f t="shared" si="136"/>
        <v/>
      </c>
      <c r="S275" s="1424"/>
      <c r="T275" s="1428" t="str">
        <f t="shared" ref="T275" si="137">IF(AND(L275="",M275="",N275="",O275=""),"",AVERAGE(L275:O275))</f>
        <v/>
      </c>
      <c r="U275" s="1426"/>
    </row>
    <row r="276" spans="2:21" ht="25.5" customHeight="1" thickBot="1">
      <c r="B276" s="1429">
        <v>25</v>
      </c>
      <c r="C276" s="1430"/>
      <c r="D276" s="1431"/>
      <c r="E276" s="1432"/>
      <c r="F276" s="1432"/>
      <c r="G276" s="1432"/>
      <c r="H276" s="1433"/>
      <c r="I276" s="1432"/>
      <c r="J276" s="1432"/>
      <c r="K276" s="1434"/>
      <c r="L276" s="1432"/>
      <c r="M276" s="1432"/>
      <c r="N276" s="1432"/>
      <c r="O276" s="1432"/>
      <c r="P276" s="1435" t="str">
        <f>IF(AND(D276="",E276="",F276="",G276=""),"",AVERAGE(D276:G276))</f>
        <v/>
      </c>
      <c r="Q276" s="1436"/>
      <c r="R276" s="1437" t="str">
        <f>IF(AND(H276="",I276="",J276="",K276=""),"",AVERAGE(H276:K276))</f>
        <v/>
      </c>
      <c r="S276" s="1436"/>
      <c r="T276" s="1437" t="str">
        <f>IF(AND(L276="",M276="",N276="",O276=""),"",AVERAGE(L276:O276))</f>
        <v/>
      </c>
      <c r="U276" s="1438"/>
    </row>
    <row r="277" spans="2:21" ht="25.5" customHeight="1" thickTop="1">
      <c r="B277" s="1439">
        <v>26</v>
      </c>
      <c r="C277" s="1440" t="s">
        <v>298</v>
      </c>
      <c r="D277" s="1441"/>
      <c r="E277" s="1442"/>
      <c r="F277" s="1442"/>
      <c r="G277" s="1442"/>
      <c r="H277" s="1443"/>
      <c r="I277" s="1442"/>
      <c r="J277" s="1442"/>
      <c r="K277" s="1444"/>
      <c r="L277" s="1442"/>
      <c r="M277" s="1442"/>
      <c r="N277" s="1442"/>
      <c r="O277" s="1442"/>
      <c r="P277" s="1445" t="str">
        <f>IF(AND(D277="",E277="",F277="",G277=""),"",AVERAGE(D277:G277))</f>
        <v/>
      </c>
      <c r="Q277" s="1724" t="e">
        <v>#N/A</v>
      </c>
      <c r="R277" s="1447" t="str">
        <f>IF(AND(H277="",I277="",J277="",K277=""),"",AVERAGE(H277:K277))</f>
        <v/>
      </c>
      <c r="S277" s="1724" t="e">
        <v>#N/A</v>
      </c>
      <c r="T277" s="1412" t="str">
        <f>IF(AND(L277="",M277="",N277="",O277=""),"",AVERAGE(L277:O277))</f>
        <v/>
      </c>
      <c r="U277" s="1730" t="e">
        <v>#N/A</v>
      </c>
    </row>
    <row r="278" spans="2:21" ht="25.5" customHeight="1">
      <c r="B278" s="1414">
        <v>27</v>
      </c>
      <c r="C278" s="1415"/>
      <c r="D278" s="1416"/>
      <c r="E278" s="1417"/>
      <c r="F278" s="1417"/>
      <c r="G278" s="1417"/>
      <c r="H278" s="1418"/>
      <c r="I278" s="1417"/>
      <c r="J278" s="1417"/>
      <c r="K278" s="1419"/>
      <c r="L278" s="1417"/>
      <c r="M278" s="1417"/>
      <c r="N278" s="1417"/>
      <c r="O278" s="1417"/>
      <c r="P278" s="1420" t="str">
        <f>IF(AND(D278="",E278="",F278="",G278=""),"",AVERAGE(D278:G278))</f>
        <v/>
      </c>
      <c r="Q278" s="1421"/>
      <c r="R278" s="1410" t="str">
        <f>IF(AND(H278="",I278="",J278="",K278=""),"",AVERAGE(H278:K278))</f>
        <v/>
      </c>
      <c r="S278" s="1421"/>
      <c r="T278" s="1410" t="str">
        <f>IF(AND(L278="",M278="",N278="",O278=""),"",AVERAGE(L278:O278))</f>
        <v/>
      </c>
      <c r="U278" s="1422"/>
    </row>
    <row r="279" spans="2:21" ht="25.5" customHeight="1">
      <c r="B279" s="1414">
        <v>28</v>
      </c>
      <c r="C279" s="1415"/>
      <c r="D279" s="1416"/>
      <c r="E279" s="1417"/>
      <c r="F279" s="1417"/>
      <c r="G279" s="1417"/>
      <c r="H279" s="1418"/>
      <c r="I279" s="1417"/>
      <c r="J279" s="1417"/>
      <c r="K279" s="1419"/>
      <c r="L279" s="1417"/>
      <c r="M279" s="1417"/>
      <c r="N279" s="1417"/>
      <c r="O279" s="1417"/>
      <c r="P279" s="1423" t="str">
        <f t="shared" ref="P279:P280" si="138">IF(AND(D279="",E279="",F279="",G279=""),"",AVERAGE(D279:G279))</f>
        <v/>
      </c>
      <c r="Q279" s="1424"/>
      <c r="R279" s="1425" t="str">
        <f t="shared" ref="R279:R280" si="139">IF(AND(H279="",I279="",J279="",K279=""),"",AVERAGE(H279:K279))</f>
        <v/>
      </c>
      <c r="S279" s="1424"/>
      <c r="T279" s="1425" t="str">
        <f>IF(AND(L279="",M279="",N279="",O279=""),"",AVERAGE(L279:O279))</f>
        <v/>
      </c>
      <c r="U279" s="1426"/>
    </row>
    <row r="280" spans="2:21" ht="25.5" customHeight="1">
      <c r="B280" s="1414">
        <v>29</v>
      </c>
      <c r="C280" s="1415"/>
      <c r="D280" s="1416"/>
      <c r="E280" s="1417"/>
      <c r="F280" s="1417"/>
      <c r="G280" s="1417"/>
      <c r="H280" s="1418"/>
      <c r="I280" s="1417"/>
      <c r="J280" s="1417"/>
      <c r="K280" s="1419"/>
      <c r="L280" s="1417"/>
      <c r="M280" s="1417"/>
      <c r="N280" s="1417"/>
      <c r="O280" s="1417"/>
      <c r="P280" s="1427" t="str">
        <f t="shared" si="138"/>
        <v/>
      </c>
      <c r="Q280" s="1424"/>
      <c r="R280" s="1428" t="str">
        <f t="shared" si="139"/>
        <v/>
      </c>
      <c r="S280" s="1424"/>
      <c r="T280" s="1428" t="str">
        <f t="shared" ref="T280" si="140">IF(AND(L280="",M280="",N280="",O280=""),"",AVERAGE(L280:O280))</f>
        <v/>
      </c>
      <c r="U280" s="1426"/>
    </row>
    <row r="281" spans="2:21" ht="25.5" customHeight="1">
      <c r="B281" s="1414">
        <v>30</v>
      </c>
      <c r="C281" s="1415"/>
      <c r="D281" s="1416"/>
      <c r="E281" s="1417"/>
      <c r="F281" s="1417"/>
      <c r="G281" s="1417"/>
      <c r="H281" s="1418"/>
      <c r="I281" s="1417"/>
      <c r="J281" s="1417"/>
      <c r="K281" s="1419"/>
      <c r="L281" s="1417"/>
      <c r="M281" s="1417"/>
      <c r="N281" s="1417"/>
      <c r="O281" s="1417"/>
      <c r="P281" s="1427" t="str">
        <f>IF(AND(D281="",E281="",F281="",G281=""),"",AVERAGE(D281:G281))</f>
        <v/>
      </c>
      <c r="Q281" s="1424"/>
      <c r="R281" s="1428" t="str">
        <f>IF(AND(H281="",I281="",J281="",K281=""),"",AVERAGE(H281:K281))</f>
        <v/>
      </c>
      <c r="S281" s="1424"/>
      <c r="T281" s="1428" t="str">
        <f>IF(AND(L281="",M281="",N281="",O281=""),"",AVERAGE(L281:O281))</f>
        <v/>
      </c>
      <c r="U281" s="1426"/>
    </row>
    <row r="282" spans="2:21" ht="25.5" customHeight="1" thickBot="1">
      <c r="B282" s="1451">
        <v>31</v>
      </c>
      <c r="C282" s="1452"/>
      <c r="D282" s="1453"/>
      <c r="E282" s="1454"/>
      <c r="F282" s="1454"/>
      <c r="G282" s="1454"/>
      <c r="H282" s="1455"/>
      <c r="I282" s="1454"/>
      <c r="J282" s="1454"/>
      <c r="K282" s="1456"/>
      <c r="L282" s="1454"/>
      <c r="M282" s="1454"/>
      <c r="N282" s="1454"/>
      <c r="O282" s="1454"/>
      <c r="P282" s="1427" t="str">
        <f>IF(AND(D282="",E282="",F282="",G282=""),"",AVERAGE(D282:G282))</f>
        <v/>
      </c>
      <c r="Q282" s="1458"/>
      <c r="R282" s="1435" t="str">
        <f>IF(AND(H282="",I282="",J282="",K282=""),"",AVERAGE(H282:K282))</f>
        <v/>
      </c>
      <c r="S282" s="1458"/>
      <c r="T282" s="1435" t="str">
        <f>IF(AND(L282="",M282="",N282="",O282=""),"",AVERAGE(L282:O282))</f>
        <v/>
      </c>
      <c r="U282" s="1731"/>
    </row>
    <row r="283" spans="2:21" ht="25.5" customHeight="1" thickTop="1">
      <c r="B283" s="1403">
        <v>1</v>
      </c>
      <c r="C283" s="1404"/>
      <c r="D283" s="1405"/>
      <c r="E283" s="1406"/>
      <c r="F283" s="1406"/>
      <c r="G283" s="1406"/>
      <c r="H283" s="1407"/>
      <c r="I283" s="1406"/>
      <c r="J283" s="1406"/>
      <c r="K283" s="1408"/>
      <c r="L283" s="1406"/>
      <c r="M283" s="1406"/>
      <c r="N283" s="1406"/>
      <c r="O283" s="1406"/>
      <c r="P283" s="1445" t="str">
        <f>IF(AND(D283="",E283="",F283="",G283=""),"",AVERAGE(D283:G283))</f>
        <v/>
      </c>
      <c r="Q283" s="1725" t="e">
        <v>#N/A</v>
      </c>
      <c r="R283" s="1412" t="str">
        <f>IF(AND(H283="",I283="",J283="",K283=""),"",AVERAGE(H283:K283))</f>
        <v/>
      </c>
      <c r="S283" s="1725" t="e">
        <v>#N/A</v>
      </c>
      <c r="T283" s="1412" t="str">
        <f>IF(AND(L283="",M283="",N283="",O283=""),"",AVERAGE(L283:O283))</f>
        <v/>
      </c>
      <c r="U283" s="1729" t="e">
        <v>#N/A</v>
      </c>
    </row>
    <row r="284" spans="2:21" ht="25.5" customHeight="1">
      <c r="B284" s="1414">
        <v>2</v>
      </c>
      <c r="C284" s="1415" t="s">
        <v>299</v>
      </c>
      <c r="D284" s="1416"/>
      <c r="E284" s="1417"/>
      <c r="F284" s="1417"/>
      <c r="G284" s="1417"/>
      <c r="H284" s="1418"/>
      <c r="I284" s="1417"/>
      <c r="J284" s="1417"/>
      <c r="K284" s="1419"/>
      <c r="L284" s="1417"/>
      <c r="M284" s="1417"/>
      <c r="N284" s="1417"/>
      <c r="O284" s="1417"/>
      <c r="P284" s="1420" t="str">
        <f>IF(AND(D284="",E284="",F284="",G284=""),"",AVERAGE(D284:G284))</f>
        <v/>
      </c>
      <c r="Q284" s="1421"/>
      <c r="R284" s="1410" t="str">
        <f>IF(AND(H284="",I284="",J284="",K284=""),"",AVERAGE(H284:K284))</f>
        <v/>
      </c>
      <c r="S284" s="1421"/>
      <c r="T284" s="1410" t="str">
        <f>IF(AND(L284="",M284="",N284="",O284=""),"",AVERAGE(L284:O284))</f>
        <v/>
      </c>
      <c r="U284" s="1422"/>
    </row>
    <row r="285" spans="2:21" ht="25.5" customHeight="1">
      <c r="B285" s="1414">
        <v>3</v>
      </c>
      <c r="C285" s="1415"/>
      <c r="D285" s="1416"/>
      <c r="E285" s="1417"/>
      <c r="F285" s="1417"/>
      <c r="G285" s="1417"/>
      <c r="H285" s="1418"/>
      <c r="I285" s="1417"/>
      <c r="J285" s="1417"/>
      <c r="K285" s="1419"/>
      <c r="L285" s="1417"/>
      <c r="M285" s="1417"/>
      <c r="N285" s="1417"/>
      <c r="O285" s="1417"/>
      <c r="P285" s="1423" t="str">
        <f t="shared" ref="P285:P286" si="141">IF(AND(D285="",E285="",F285="",G285=""),"",AVERAGE(D285:G285))</f>
        <v/>
      </c>
      <c r="Q285" s="1424"/>
      <c r="R285" s="1425" t="str">
        <f t="shared" ref="R285:R286" si="142">IF(AND(H285="",I285="",J285="",K285=""),"",AVERAGE(H285:K285))</f>
        <v/>
      </c>
      <c r="S285" s="1424"/>
      <c r="T285" s="1425" t="str">
        <f>IF(AND(L285="",M285="",N285="",O285=""),"",AVERAGE(L285:O285))</f>
        <v/>
      </c>
      <c r="U285" s="1426"/>
    </row>
    <row r="286" spans="2:21" ht="25.5" customHeight="1">
      <c r="B286" s="1414">
        <v>4</v>
      </c>
      <c r="C286" s="1415"/>
      <c r="D286" s="1416"/>
      <c r="E286" s="1417"/>
      <c r="F286" s="1417"/>
      <c r="G286" s="1417"/>
      <c r="H286" s="1418"/>
      <c r="I286" s="1417"/>
      <c r="J286" s="1417"/>
      <c r="K286" s="1419"/>
      <c r="L286" s="1417"/>
      <c r="M286" s="1417"/>
      <c r="N286" s="1417"/>
      <c r="O286" s="1417"/>
      <c r="P286" s="1427" t="str">
        <f t="shared" si="141"/>
        <v/>
      </c>
      <c r="Q286" s="1424"/>
      <c r="R286" s="1428" t="str">
        <f t="shared" si="142"/>
        <v/>
      </c>
      <c r="S286" s="1424"/>
      <c r="T286" s="1428" t="str">
        <f t="shared" ref="T286" si="143">IF(AND(L286="",M286="",N286="",O286=""),"",AVERAGE(L286:O286))</f>
        <v/>
      </c>
      <c r="U286" s="1426"/>
    </row>
    <row r="287" spans="2:21" ht="25.5" customHeight="1" thickBot="1">
      <c r="B287" s="1460">
        <v>5</v>
      </c>
      <c r="C287" s="1461"/>
      <c r="D287" s="1462"/>
      <c r="E287" s="1463"/>
      <c r="F287" s="1463"/>
      <c r="G287" s="1463"/>
      <c r="H287" s="1464"/>
      <c r="I287" s="1463"/>
      <c r="J287" s="1463"/>
      <c r="K287" s="1465"/>
      <c r="L287" s="1463"/>
      <c r="M287" s="1463"/>
      <c r="N287" s="1463"/>
      <c r="O287" s="1463"/>
      <c r="P287" s="1466" t="str">
        <f>IF(AND(D287="",E287="",F287="",G287=""),"",AVERAGE(D287:G287))</f>
        <v/>
      </c>
      <c r="Q287" s="1468"/>
      <c r="R287" s="1467" t="str">
        <f>IF(AND(H287="",I287="",J287="",K287=""),"",AVERAGE(H287:K287))</f>
        <v/>
      </c>
      <c r="S287" s="1468"/>
      <c r="T287" s="1467" t="str">
        <f>IF(AND(L287="",M287="",N287="",O287=""),"",AVERAGE(L287:O287))</f>
        <v/>
      </c>
      <c r="U287" s="1469"/>
    </row>
    <row r="288" spans="2:21" ht="25.5" customHeight="1"/>
    <row r="289" spans="2:21" ht="25.5" customHeight="1" thickBot="1">
      <c r="B289" s="1914" t="s">
        <v>419</v>
      </c>
      <c r="C289" s="1914"/>
      <c r="D289" s="1914"/>
      <c r="E289" s="1914"/>
      <c r="F289" s="1914"/>
      <c r="G289" s="1914"/>
      <c r="H289" s="1242">
        <f>H2</f>
        <v>2026</v>
      </c>
      <c r="I289" s="1242" t="s">
        <v>420</v>
      </c>
      <c r="J289" s="1242">
        <v>10</v>
      </c>
      <c r="K289" s="1242" t="s">
        <v>421</v>
      </c>
      <c r="L289" s="1241"/>
      <c r="M289" s="1241"/>
      <c r="N289" s="1241"/>
      <c r="O289" s="1401"/>
      <c r="P289" s="1401"/>
      <c r="Q289" s="1401"/>
      <c r="R289" s="1401"/>
      <c r="S289" s="1401"/>
      <c r="T289" s="1401"/>
      <c r="U289" s="1401"/>
    </row>
    <row r="290" spans="2:21" ht="25.5" customHeight="1">
      <c r="B290" s="1915"/>
      <c r="C290" s="1918" t="s">
        <v>422</v>
      </c>
      <c r="D290" s="1921" t="s">
        <v>423</v>
      </c>
      <c r="E290" s="1922"/>
      <c r="F290" s="1922"/>
      <c r="G290" s="1923"/>
      <c r="H290" s="1924" t="s">
        <v>424</v>
      </c>
      <c r="I290" s="1922"/>
      <c r="J290" s="1922"/>
      <c r="K290" s="1923"/>
      <c r="L290" s="1924" t="s">
        <v>440</v>
      </c>
      <c r="M290" s="1922"/>
      <c r="N290" s="1922"/>
      <c r="O290" s="1922"/>
      <c r="P290" s="1924" t="s">
        <v>426</v>
      </c>
      <c r="Q290" s="1923"/>
      <c r="R290" s="1922" t="s">
        <v>424</v>
      </c>
      <c r="S290" s="1923"/>
      <c r="T290" s="1922" t="s">
        <v>425</v>
      </c>
      <c r="U290" s="1927"/>
    </row>
    <row r="291" spans="2:21" ht="25.5" customHeight="1">
      <c r="B291" s="1916"/>
      <c r="C291" s="1919"/>
      <c r="D291" s="1239" t="s">
        <v>429</v>
      </c>
      <c r="E291" s="1238" t="s">
        <v>430</v>
      </c>
      <c r="F291" s="1238" t="s">
        <v>431</v>
      </c>
      <c r="G291" s="1237" t="s">
        <v>432</v>
      </c>
      <c r="H291" s="1236" t="s">
        <v>429</v>
      </c>
      <c r="I291" s="1238" t="s">
        <v>430</v>
      </c>
      <c r="J291" s="1238" t="s">
        <v>431</v>
      </c>
      <c r="K291" s="1237" t="s">
        <v>432</v>
      </c>
      <c r="L291" s="1235" t="s">
        <v>429</v>
      </c>
      <c r="M291" s="1238" t="s">
        <v>430</v>
      </c>
      <c r="N291" s="1238" t="s">
        <v>431</v>
      </c>
      <c r="O291" s="1234" t="s">
        <v>432</v>
      </c>
      <c r="P291" s="1928" t="s">
        <v>433</v>
      </c>
      <c r="Q291" s="1930" t="s">
        <v>434</v>
      </c>
      <c r="R291" s="1932" t="s">
        <v>435</v>
      </c>
      <c r="S291" s="1930" t="s">
        <v>434</v>
      </c>
      <c r="T291" s="1932" t="s">
        <v>435</v>
      </c>
      <c r="U291" s="1925" t="s">
        <v>441</v>
      </c>
    </row>
    <row r="292" spans="2:21" ht="25.5" customHeight="1" thickBot="1">
      <c r="B292" s="1917"/>
      <c r="C292" s="1920"/>
      <c r="D292" s="1233">
        <v>1</v>
      </c>
      <c r="E292" s="1232">
        <v>2</v>
      </c>
      <c r="F292" s="1232">
        <v>3</v>
      </c>
      <c r="G292" s="1231">
        <v>4</v>
      </c>
      <c r="H292" s="1230">
        <v>1</v>
      </c>
      <c r="I292" s="1232">
        <v>2</v>
      </c>
      <c r="J292" s="1232">
        <v>3</v>
      </c>
      <c r="K292" s="1231">
        <v>4</v>
      </c>
      <c r="L292" s="1229">
        <v>1</v>
      </c>
      <c r="M292" s="1232">
        <v>2</v>
      </c>
      <c r="N292" s="1232">
        <v>3</v>
      </c>
      <c r="O292" s="1232">
        <v>4</v>
      </c>
      <c r="P292" s="1929"/>
      <c r="Q292" s="1931"/>
      <c r="R292" s="1933"/>
      <c r="S292" s="1931"/>
      <c r="T292" s="1933"/>
      <c r="U292" s="1926"/>
    </row>
    <row r="293" spans="2:21" ht="25.5" customHeight="1">
      <c r="B293" s="1403">
        <v>1</v>
      </c>
      <c r="C293" s="1404"/>
      <c r="D293" s="1799"/>
      <c r="E293" s="1800"/>
      <c r="F293" s="1800"/>
      <c r="G293" s="1800"/>
      <c r="H293" s="1801"/>
      <c r="I293" s="1800"/>
      <c r="J293" s="1800"/>
      <c r="K293" s="1802"/>
      <c r="L293" s="1800"/>
      <c r="M293" s="1800"/>
      <c r="N293" s="1800"/>
      <c r="O293" s="1802"/>
      <c r="P293" s="1409" t="str">
        <f>IF(AND(D293="",E293="",F293="",G293=""),"",AVERAGE(D293:G293))</f>
        <v/>
      </c>
      <c r="Q293" s="1411" t="s">
        <v>437</v>
      </c>
      <c r="R293" s="1412" t="str">
        <f>IF(AND(H293="",I293="",J293="",K293=""),"",AVERAGE(H293:K293))</f>
        <v/>
      </c>
      <c r="S293" s="1411" t="s">
        <v>438</v>
      </c>
      <c r="T293" s="1412" t="str">
        <f>IF(AND(L293="",M293="",N293="",O293=""),"",AVERAGE(L293:O293))</f>
        <v/>
      </c>
      <c r="U293" s="1413" t="s">
        <v>437</v>
      </c>
    </row>
    <row r="294" spans="2:21" ht="25.5" customHeight="1">
      <c r="B294" s="1414">
        <v>2</v>
      </c>
      <c r="C294" s="1415"/>
      <c r="D294" s="1803"/>
      <c r="E294" s="1804"/>
      <c r="F294" s="1804"/>
      <c r="G294" s="1804"/>
      <c r="H294" s="1805"/>
      <c r="I294" s="1804"/>
      <c r="J294" s="1804"/>
      <c r="K294" s="1806"/>
      <c r="L294" s="1804"/>
      <c r="M294" s="1804"/>
      <c r="N294" s="1804"/>
      <c r="O294" s="1806"/>
      <c r="P294" s="1420" t="str">
        <f>IF(AND(D294="",E294="",F294="",G294=""),"",AVERAGE(D294:G294))</f>
        <v/>
      </c>
      <c r="Q294" s="1421"/>
      <c r="R294" s="1410" t="str">
        <f>IF(AND(H294="",I294="",J294="",K294=""),"",AVERAGE(H294:K294))</f>
        <v/>
      </c>
      <c r="S294" s="1421"/>
      <c r="T294" s="1410" t="str">
        <f>IF(AND(L294="",M294="",N294="",O294=""),"",AVERAGE(L294:O294))</f>
        <v/>
      </c>
      <c r="U294" s="1422"/>
    </row>
    <row r="295" spans="2:21" ht="25.5" customHeight="1">
      <c r="B295" s="1414">
        <v>3</v>
      </c>
      <c r="C295" s="1415"/>
      <c r="D295" s="1803"/>
      <c r="E295" s="1804"/>
      <c r="F295" s="1804"/>
      <c r="G295" s="1804"/>
      <c r="H295" s="1805"/>
      <c r="I295" s="1804"/>
      <c r="J295" s="1804"/>
      <c r="K295" s="1806"/>
      <c r="L295" s="1804"/>
      <c r="M295" s="1804"/>
      <c r="N295" s="1804"/>
      <c r="O295" s="1806"/>
      <c r="P295" s="1423" t="str">
        <f t="shared" ref="P295:P296" si="144">IF(AND(D295="",E295="",F295="",G295=""),"",AVERAGE(D295:G295))</f>
        <v/>
      </c>
      <c r="Q295" s="1424"/>
      <c r="R295" s="1425" t="str">
        <f t="shared" ref="R295:R296" si="145">IF(AND(H295="",I295="",J295="",K295=""),"",AVERAGE(H295:K295))</f>
        <v/>
      </c>
      <c r="S295" s="1424"/>
      <c r="T295" s="1425" t="str">
        <f>IF(AND(L295="",M295="",N295="",O295=""),"",AVERAGE(L295:O295))</f>
        <v/>
      </c>
      <c r="U295" s="1426"/>
    </row>
    <row r="296" spans="2:21" ht="25.5" customHeight="1">
      <c r="B296" s="1414">
        <v>4</v>
      </c>
      <c r="C296" s="1415"/>
      <c r="D296" s="1803"/>
      <c r="E296" s="1804"/>
      <c r="F296" s="1804"/>
      <c r="G296" s="1804"/>
      <c r="H296" s="1805"/>
      <c r="I296" s="1804"/>
      <c r="J296" s="1804"/>
      <c r="K296" s="1806"/>
      <c r="L296" s="1804"/>
      <c r="M296" s="1804"/>
      <c r="N296" s="1804"/>
      <c r="O296" s="1806"/>
      <c r="P296" s="1427" t="str">
        <f t="shared" si="144"/>
        <v/>
      </c>
      <c r="Q296" s="1424"/>
      <c r="R296" s="1428" t="str">
        <f t="shared" si="145"/>
        <v/>
      </c>
      <c r="S296" s="1424"/>
      <c r="T296" s="1428" t="str">
        <f t="shared" ref="T296" si="146">IF(AND(L296="",M296="",N296="",O296=""),"",AVERAGE(L296:O296))</f>
        <v/>
      </c>
      <c r="U296" s="1426"/>
    </row>
    <row r="297" spans="2:21" ht="25.5" customHeight="1" thickBot="1">
      <c r="B297" s="1429">
        <v>5</v>
      </c>
      <c r="C297" s="1430"/>
      <c r="D297" s="1807"/>
      <c r="E297" s="1808"/>
      <c r="F297" s="1808"/>
      <c r="G297" s="1808"/>
      <c r="H297" s="1809"/>
      <c r="I297" s="1808"/>
      <c r="J297" s="1808"/>
      <c r="K297" s="1810"/>
      <c r="L297" s="1808"/>
      <c r="M297" s="1808"/>
      <c r="N297" s="1808"/>
      <c r="O297" s="1810"/>
      <c r="P297" s="1435" t="str">
        <f>IF(AND(D297="",E297="",F297="",G297=""),"",AVERAGE(D297:G297))</f>
        <v/>
      </c>
      <c r="Q297" s="1436"/>
      <c r="R297" s="1437" t="str">
        <f>IF(AND(H297="",I297="",J297="",K297=""),"",AVERAGE(H297:K297))</f>
        <v/>
      </c>
      <c r="S297" s="1436"/>
      <c r="T297" s="1437" t="str">
        <f>IF(AND(L297="",M297="",N297="",O297=""),"",AVERAGE(L297:O297))</f>
        <v/>
      </c>
      <c r="U297" s="1438"/>
    </row>
    <row r="298" spans="2:21" ht="25.5" customHeight="1" thickTop="1">
      <c r="B298" s="1439">
        <v>6</v>
      </c>
      <c r="C298" s="1440" t="s">
        <v>294</v>
      </c>
      <c r="D298" s="1441"/>
      <c r="E298" s="1442"/>
      <c r="F298" s="1442"/>
      <c r="G298" s="1442"/>
      <c r="H298" s="1443"/>
      <c r="I298" s="1442"/>
      <c r="J298" s="1442"/>
      <c r="K298" s="1444"/>
      <c r="L298" s="1442"/>
      <c r="M298" s="1442"/>
      <c r="N298" s="1442"/>
      <c r="O298" s="1442"/>
      <c r="P298" s="1445" t="str">
        <f>IF(AND(D298="",E298="",F298="",G298=""),"",AVERAGE(D298:G298))</f>
        <v/>
      </c>
      <c r="Q298" s="1726" t="e">
        <v>#N/A</v>
      </c>
      <c r="R298" s="1447" t="str">
        <f>IF(AND(H298="",I298="",J298="",K298=""),"",AVERAGE(H298:K298))</f>
        <v/>
      </c>
      <c r="S298" s="1725" t="e">
        <v>#N/A</v>
      </c>
      <c r="T298" s="1412" t="str">
        <f>IF(AND(L298="",M298="",N298="",O298=""),"",AVERAGE(L298:O298))</f>
        <v/>
      </c>
      <c r="U298" s="1729" t="e">
        <v>#N/A</v>
      </c>
    </row>
    <row r="299" spans="2:21" ht="25.5" customHeight="1">
      <c r="B299" s="1414">
        <v>7</v>
      </c>
      <c r="C299" s="1415"/>
      <c r="D299" s="1416"/>
      <c r="E299" s="1417"/>
      <c r="F299" s="1417"/>
      <c r="G299" s="1417"/>
      <c r="H299" s="1418"/>
      <c r="I299" s="1417"/>
      <c r="J299" s="1417"/>
      <c r="K299" s="1419"/>
      <c r="L299" s="1417"/>
      <c r="M299" s="1417"/>
      <c r="N299" s="1417"/>
      <c r="O299" s="1417"/>
      <c r="P299" s="1420" t="str">
        <f>IF(AND(D299="",E299="",F299="",G299=""),"",AVERAGE(D299:G299))</f>
        <v/>
      </c>
      <c r="Q299" s="1421"/>
      <c r="R299" s="1410" t="str">
        <f>IF(AND(H299="",I299="",J299="",K299=""),"",AVERAGE(H299:K299))</f>
        <v/>
      </c>
      <c r="S299" s="1421"/>
      <c r="T299" s="1410" t="str">
        <f>IF(AND(L299="",M299="",N299="",O299=""),"",AVERAGE(L299:O299))</f>
        <v/>
      </c>
      <c r="U299" s="1422"/>
    </row>
    <row r="300" spans="2:21" ht="25.5" customHeight="1">
      <c r="B300" s="1414">
        <v>8</v>
      </c>
      <c r="C300" s="1415"/>
      <c r="D300" s="1416"/>
      <c r="E300" s="1417"/>
      <c r="F300" s="1417"/>
      <c r="G300" s="1417"/>
      <c r="H300" s="1418"/>
      <c r="I300" s="1417"/>
      <c r="J300" s="1417"/>
      <c r="K300" s="1419"/>
      <c r="L300" s="1417"/>
      <c r="M300" s="1417"/>
      <c r="N300" s="1417"/>
      <c r="O300" s="1417"/>
      <c r="P300" s="1423" t="str">
        <f t="shared" ref="P300:P301" si="147">IF(AND(D300="",E300="",F300="",G300=""),"",AVERAGE(D300:G300))</f>
        <v/>
      </c>
      <c r="Q300" s="1424"/>
      <c r="R300" s="1425" t="str">
        <f t="shared" ref="R300:R301" si="148">IF(AND(H300="",I300="",J300="",K300=""),"",AVERAGE(H300:K300))</f>
        <v/>
      </c>
      <c r="S300" s="1424"/>
      <c r="T300" s="1425" t="str">
        <f>IF(AND(L300="",M300="",N300="",O300=""),"",AVERAGE(L300:O300))</f>
        <v/>
      </c>
      <c r="U300" s="1426"/>
    </row>
    <row r="301" spans="2:21" ht="25.5" customHeight="1">
      <c r="B301" s="1414">
        <v>9</v>
      </c>
      <c r="C301" s="1415"/>
      <c r="D301" s="1416"/>
      <c r="E301" s="1417"/>
      <c r="F301" s="1417"/>
      <c r="G301" s="1417"/>
      <c r="H301" s="1418"/>
      <c r="I301" s="1417"/>
      <c r="J301" s="1417"/>
      <c r="K301" s="1419"/>
      <c r="L301" s="1417"/>
      <c r="M301" s="1417"/>
      <c r="N301" s="1417"/>
      <c r="O301" s="1450"/>
      <c r="P301" s="1427" t="str">
        <f t="shared" si="147"/>
        <v/>
      </c>
      <c r="Q301" s="1424"/>
      <c r="R301" s="1428" t="str">
        <f t="shared" si="148"/>
        <v/>
      </c>
      <c r="S301" s="1424"/>
      <c r="T301" s="1428" t="str">
        <f t="shared" ref="T301" si="149">IF(AND(L301="",M301="",N301="",O301=""),"",AVERAGE(L301:O301))</f>
        <v/>
      </c>
      <c r="U301" s="1426"/>
    </row>
    <row r="302" spans="2:21" ht="25.5" customHeight="1" thickBot="1">
      <c r="B302" s="1451">
        <v>10</v>
      </c>
      <c r="C302" s="1452"/>
      <c r="D302" s="1453"/>
      <c r="E302" s="1454"/>
      <c r="F302" s="1454"/>
      <c r="G302" s="1454"/>
      <c r="H302" s="1455"/>
      <c r="I302" s="1454"/>
      <c r="J302" s="1454"/>
      <c r="K302" s="1456"/>
      <c r="L302" s="1454"/>
      <c r="M302" s="1454"/>
      <c r="N302" s="1454"/>
      <c r="O302" s="1454"/>
      <c r="P302" s="1435" t="str">
        <f>IF(AND(D302="",E302="",F302="",G302=""),"",AVERAGE(D302:G302))</f>
        <v/>
      </c>
      <c r="Q302" s="1436"/>
      <c r="R302" s="1437" t="str">
        <f>IF(AND(H302="",I302="",J302="",K302=""),"",AVERAGE(H302:K302))</f>
        <v/>
      </c>
      <c r="S302" s="1436"/>
      <c r="T302" s="1437" t="str">
        <f>IF(AND(L302="",M302="",N302="",O302=""),"",AVERAGE(L302:O302))</f>
        <v/>
      </c>
      <c r="U302" s="1438"/>
    </row>
    <row r="303" spans="2:21" ht="25.5" customHeight="1" thickTop="1">
      <c r="B303" s="1403">
        <v>11</v>
      </c>
      <c r="C303" s="1404"/>
      <c r="D303" s="1405"/>
      <c r="E303" s="1406"/>
      <c r="F303" s="1406"/>
      <c r="G303" s="1406"/>
      <c r="H303" s="1407"/>
      <c r="I303" s="1406"/>
      <c r="J303" s="1406"/>
      <c r="K303" s="1408"/>
      <c r="L303" s="1406"/>
      <c r="M303" s="1406"/>
      <c r="N303" s="1406"/>
      <c r="O303" s="1406"/>
      <c r="P303" s="1445" t="str">
        <f>IF(AND(D303="",E303="",F303="",G303=""),"",AVERAGE(D303:G303))</f>
        <v/>
      </c>
      <c r="Q303" s="1446" t="e">
        <v>#N/A</v>
      </c>
      <c r="R303" s="1447" t="str">
        <f>IF(AND(H303="",I303="",J303="",K303=""),"",AVERAGE(H303:K303))</f>
        <v/>
      </c>
      <c r="S303" s="1448" t="e">
        <v>#N/A</v>
      </c>
      <c r="T303" s="1412" t="str">
        <f>IF(AND(L303="",M303="",N303="",O303=""),"",AVERAGE(L303:O303))</f>
        <v/>
      </c>
      <c r="U303" s="1449" t="e">
        <v>#N/A</v>
      </c>
    </row>
    <row r="304" spans="2:21" ht="25.5" customHeight="1">
      <c r="B304" s="1414">
        <v>12</v>
      </c>
      <c r="C304" s="1415"/>
      <c r="D304" s="1416"/>
      <c r="E304" s="1417"/>
      <c r="F304" s="1417"/>
      <c r="G304" s="1417"/>
      <c r="H304" s="1418"/>
      <c r="I304" s="1417"/>
      <c r="J304" s="1417"/>
      <c r="K304" s="1419"/>
      <c r="L304" s="1417"/>
      <c r="M304" s="1417"/>
      <c r="N304" s="1417"/>
      <c r="O304" s="1417"/>
      <c r="P304" s="1420" t="str">
        <f>IF(AND(D304="",E304="",F304="",G304=""),"",AVERAGE(D304:G304))</f>
        <v/>
      </c>
      <c r="Q304" s="1421"/>
      <c r="R304" s="1410" t="str">
        <f>IF(AND(H304="",I304="",J304="",K304=""),"",AVERAGE(H304:K304))</f>
        <v/>
      </c>
      <c r="S304" s="1421"/>
      <c r="T304" s="1410" t="str">
        <f>IF(AND(L304="",M304="",N304="",O304=""),"",AVERAGE(L304:O304))</f>
        <v/>
      </c>
      <c r="U304" s="1422"/>
    </row>
    <row r="305" spans="2:21" ht="25.5" customHeight="1">
      <c r="B305" s="1414">
        <v>13</v>
      </c>
      <c r="C305" s="1415" t="s">
        <v>295</v>
      </c>
      <c r="D305" s="1416"/>
      <c r="E305" s="1417"/>
      <c r="F305" s="1417"/>
      <c r="G305" s="1417"/>
      <c r="H305" s="1418"/>
      <c r="I305" s="1417"/>
      <c r="J305" s="1417"/>
      <c r="K305" s="1419"/>
      <c r="L305" s="1417"/>
      <c r="M305" s="1417"/>
      <c r="N305" s="1417"/>
      <c r="O305" s="1417"/>
      <c r="P305" s="1423" t="str">
        <f t="shared" ref="P305:P306" si="150">IF(AND(D305="",E305="",F305="",G305=""),"",AVERAGE(D305:G305))</f>
        <v/>
      </c>
      <c r="Q305" s="1424"/>
      <c r="R305" s="1425" t="str">
        <f t="shared" ref="R305:R306" si="151">IF(AND(H305="",I305="",J305="",K305=""),"",AVERAGE(H305:K305))</f>
        <v/>
      </c>
      <c r="S305" s="1424"/>
      <c r="T305" s="1425" t="str">
        <f>IF(AND(L305="",M305="",N305="",O305=""),"",AVERAGE(L305:O305))</f>
        <v/>
      </c>
      <c r="U305" s="1426"/>
    </row>
    <row r="306" spans="2:21" ht="25.5" customHeight="1">
      <c r="B306" s="1414">
        <v>14</v>
      </c>
      <c r="C306" s="1415"/>
      <c r="D306" s="1416"/>
      <c r="E306" s="1417"/>
      <c r="F306" s="1417"/>
      <c r="G306" s="1417"/>
      <c r="H306" s="1418"/>
      <c r="I306" s="1417"/>
      <c r="J306" s="1417"/>
      <c r="K306" s="1419"/>
      <c r="L306" s="1417"/>
      <c r="M306" s="1417"/>
      <c r="N306" s="1417"/>
      <c r="O306" s="1417"/>
      <c r="P306" s="1427" t="str">
        <f t="shared" si="150"/>
        <v/>
      </c>
      <c r="Q306" s="1424"/>
      <c r="R306" s="1428" t="str">
        <f t="shared" si="151"/>
        <v/>
      </c>
      <c r="S306" s="1424"/>
      <c r="T306" s="1428" t="str">
        <f t="shared" ref="T306" si="152">IF(AND(L306="",M306="",N306="",O306=""),"",AVERAGE(L306:O306))</f>
        <v/>
      </c>
      <c r="U306" s="1426"/>
    </row>
    <row r="307" spans="2:21" ht="25.5" customHeight="1" thickBot="1">
      <c r="B307" s="1429">
        <v>15</v>
      </c>
      <c r="C307" s="1430"/>
      <c r="D307" s="1431"/>
      <c r="E307" s="1432"/>
      <c r="F307" s="1432"/>
      <c r="G307" s="1432"/>
      <c r="H307" s="1433"/>
      <c r="I307" s="1432"/>
      <c r="J307" s="1432"/>
      <c r="K307" s="1434"/>
      <c r="L307" s="1432"/>
      <c r="M307" s="1432"/>
      <c r="N307" s="1432"/>
      <c r="O307" s="1432"/>
      <c r="P307" s="1435" t="str">
        <f>IF(AND(D307="",E307="",F307="",G307=""),"",AVERAGE(D307:G307))</f>
        <v/>
      </c>
      <c r="Q307" s="1436"/>
      <c r="R307" s="1437" t="str">
        <f>IF(AND(H307="",I307="",J307="",K307=""),"",AVERAGE(H307:K307))</f>
        <v/>
      </c>
      <c r="S307" s="1436"/>
      <c r="T307" s="1437" t="str">
        <f>IF(AND(L307="",M307="",N307="",O307=""),"",AVERAGE(L307:O307))</f>
        <v/>
      </c>
      <c r="U307" s="1438"/>
    </row>
    <row r="308" spans="2:21" ht="25.5" customHeight="1" thickTop="1">
      <c r="B308" s="1439">
        <v>16</v>
      </c>
      <c r="C308" s="1440"/>
      <c r="D308" s="1441"/>
      <c r="E308" s="1442"/>
      <c r="F308" s="1442"/>
      <c r="G308" s="1442"/>
      <c r="H308" s="1443"/>
      <c r="I308" s="1442"/>
      <c r="J308" s="1442"/>
      <c r="K308" s="1444"/>
      <c r="L308" s="1442"/>
      <c r="M308" s="1442"/>
      <c r="N308" s="1442"/>
      <c r="O308" s="1442"/>
      <c r="P308" s="1445" t="str">
        <f>IF(AND(D308="",E308="",F308="",G308=""),"",AVERAGE(D308:G308))</f>
        <v/>
      </c>
      <c r="Q308" s="1725" t="e">
        <v>#N/A</v>
      </c>
      <c r="R308" s="1447" t="str">
        <f>IF(AND(H308="",I308="",J308="",K308=""),"",AVERAGE(H308:K308))</f>
        <v/>
      </c>
      <c r="S308" s="1725" t="e">
        <v>#N/A</v>
      </c>
      <c r="T308" s="1412" t="str">
        <f>IF(AND(L308="",M308="",N308="",O308=""),"",AVERAGE(L308:O308))</f>
        <v/>
      </c>
      <c r="U308" s="1729" t="e">
        <v>#N/A</v>
      </c>
    </row>
    <row r="309" spans="2:21" ht="25.5" customHeight="1">
      <c r="B309" s="1414">
        <v>17</v>
      </c>
      <c r="C309" s="1415" t="s">
        <v>296</v>
      </c>
      <c r="D309" s="1416"/>
      <c r="E309" s="1417"/>
      <c r="F309" s="1417"/>
      <c r="G309" s="1417"/>
      <c r="H309" s="1418"/>
      <c r="I309" s="1417"/>
      <c r="J309" s="1417"/>
      <c r="K309" s="1419"/>
      <c r="L309" s="1417"/>
      <c r="M309" s="1417"/>
      <c r="N309" s="1417"/>
      <c r="O309" s="1417"/>
      <c r="P309" s="1420" t="str">
        <f>IF(AND(D309="",E309="",F309="",G309=""),"",AVERAGE(D309:G309))</f>
        <v/>
      </c>
      <c r="Q309" s="1421"/>
      <c r="R309" s="1410" t="str">
        <f>IF(AND(H309="",I309="",J309="",K309=""),"",AVERAGE(H309:K309))</f>
        <v/>
      </c>
      <c r="S309" s="1421"/>
      <c r="T309" s="1410" t="str">
        <f>IF(AND(L309="",M309="",N309="",O309=""),"",AVERAGE(L309:O309))</f>
        <v/>
      </c>
      <c r="U309" s="1422"/>
    </row>
    <row r="310" spans="2:21" ht="25.5" customHeight="1">
      <c r="B310" s="1414">
        <v>18</v>
      </c>
      <c r="C310" s="1415"/>
      <c r="D310" s="1416"/>
      <c r="E310" s="1417"/>
      <c r="F310" s="1417"/>
      <c r="G310" s="1417"/>
      <c r="H310" s="1418"/>
      <c r="I310" s="1417"/>
      <c r="J310" s="1417"/>
      <c r="K310" s="1419"/>
      <c r="L310" s="1417"/>
      <c r="M310" s="1417"/>
      <c r="N310" s="1417"/>
      <c r="O310" s="1417"/>
      <c r="P310" s="1423" t="str">
        <f t="shared" ref="P310:P311" si="153">IF(AND(D310="",E310="",F310="",G310=""),"",AVERAGE(D310:G310))</f>
        <v/>
      </c>
      <c r="Q310" s="1424"/>
      <c r="R310" s="1425" t="str">
        <f t="shared" ref="R310:R311" si="154">IF(AND(H310="",I310="",J310="",K310=""),"",AVERAGE(H310:K310))</f>
        <v/>
      </c>
      <c r="S310" s="1424"/>
      <c r="T310" s="1425" t="str">
        <f>IF(AND(L310="",M310="",N310="",O310=""),"",AVERAGE(L310:O310))</f>
        <v/>
      </c>
      <c r="U310" s="1426"/>
    </row>
    <row r="311" spans="2:21" ht="25.5" customHeight="1">
      <c r="B311" s="1414">
        <v>19</v>
      </c>
      <c r="C311" s="1415"/>
      <c r="D311" s="1416"/>
      <c r="E311" s="1417"/>
      <c r="F311" s="1417"/>
      <c r="G311" s="1417"/>
      <c r="H311" s="1418"/>
      <c r="I311" s="1417"/>
      <c r="J311" s="1417"/>
      <c r="K311" s="1419"/>
      <c r="L311" s="1417"/>
      <c r="M311" s="1417"/>
      <c r="N311" s="1417"/>
      <c r="O311" s="1417"/>
      <c r="P311" s="1427" t="str">
        <f t="shared" si="153"/>
        <v/>
      </c>
      <c r="Q311" s="1424"/>
      <c r="R311" s="1428" t="str">
        <f t="shared" si="154"/>
        <v/>
      </c>
      <c r="S311" s="1424"/>
      <c r="T311" s="1428" t="str">
        <f t="shared" ref="T311" si="155">IF(AND(L311="",M311="",N311="",O311=""),"",AVERAGE(L311:O311))</f>
        <v/>
      </c>
      <c r="U311" s="1426"/>
    </row>
    <row r="312" spans="2:21" ht="25.5" customHeight="1" thickBot="1">
      <c r="B312" s="1451">
        <v>20</v>
      </c>
      <c r="C312" s="1452"/>
      <c r="D312" s="1453"/>
      <c r="E312" s="1454"/>
      <c r="F312" s="1454"/>
      <c r="G312" s="1454"/>
      <c r="H312" s="1455"/>
      <c r="I312" s="1454"/>
      <c r="J312" s="1454"/>
      <c r="K312" s="1456"/>
      <c r="L312" s="1454"/>
      <c r="M312" s="1454"/>
      <c r="N312" s="1454"/>
      <c r="O312" s="1454"/>
      <c r="P312" s="1435" t="str">
        <f>IF(AND(D312="",E312="",F312="",G312=""),"",AVERAGE(D312:G312))</f>
        <v/>
      </c>
      <c r="Q312" s="1436"/>
      <c r="R312" s="1437" t="str">
        <f>IF(AND(H312="",I312="",J312="",K312=""),"",AVERAGE(H312:K312))</f>
        <v/>
      </c>
      <c r="S312" s="1436"/>
      <c r="T312" s="1437" t="str">
        <f>IF(AND(L312="",M312="",N312="",O312=""),"",AVERAGE(L312:O312))</f>
        <v/>
      </c>
      <c r="U312" s="1438"/>
    </row>
    <row r="313" spans="2:21" ht="25.5" customHeight="1" thickTop="1">
      <c r="B313" s="1403">
        <v>21</v>
      </c>
      <c r="C313" s="1404"/>
      <c r="D313" s="1405"/>
      <c r="E313" s="1406"/>
      <c r="F313" s="1406"/>
      <c r="G313" s="1406"/>
      <c r="H313" s="1407"/>
      <c r="I313" s="1406"/>
      <c r="J313" s="1406"/>
      <c r="K313" s="1408"/>
      <c r="L313" s="1406"/>
      <c r="M313" s="1406"/>
      <c r="N313" s="1406"/>
      <c r="O313" s="1406"/>
      <c r="P313" s="1445" t="str">
        <f>IF(AND(D313="",E313="",F313="",G313=""),"",AVERAGE(D313:G313))</f>
        <v/>
      </c>
      <c r="Q313" s="1725" t="e">
        <v>#N/A</v>
      </c>
      <c r="R313" s="1447" t="str">
        <f>IF(AND(H313="",I313="",J313="",K313=""),"",AVERAGE(H313:K313))</f>
        <v/>
      </c>
      <c r="S313" s="1725" t="e">
        <v>#N/A</v>
      </c>
      <c r="T313" s="1412" t="str">
        <f>IF(AND(L313="",M313="",N313="",O313=""),"",AVERAGE(L313:O313))</f>
        <v/>
      </c>
      <c r="U313" s="1729" t="e">
        <v>#N/A</v>
      </c>
    </row>
    <row r="314" spans="2:21" ht="25.5" customHeight="1">
      <c r="B314" s="1414">
        <v>22</v>
      </c>
      <c r="C314" s="1415"/>
      <c r="D314" s="1416"/>
      <c r="E314" s="1417"/>
      <c r="F314" s="1417"/>
      <c r="G314" s="1417"/>
      <c r="H314" s="1418"/>
      <c r="I314" s="1417"/>
      <c r="J314" s="1417"/>
      <c r="K314" s="1419"/>
      <c r="L314" s="1417"/>
      <c r="M314" s="1417"/>
      <c r="N314" s="1417"/>
      <c r="O314" s="1417"/>
      <c r="P314" s="1420" t="str">
        <f>IF(AND(D314="",E314="",F314="",G314=""),"",AVERAGE(D314:G314))</f>
        <v/>
      </c>
      <c r="Q314" s="1421"/>
      <c r="R314" s="1410" t="str">
        <f>IF(AND(H314="",I314="",J314="",K314=""),"",AVERAGE(H314:K314))</f>
        <v/>
      </c>
      <c r="S314" s="1421"/>
      <c r="T314" s="1410" t="str">
        <f>IF(AND(L314="",M314="",N314="",O314=""),"",AVERAGE(L314:O314))</f>
        <v/>
      </c>
      <c r="U314" s="1422"/>
    </row>
    <row r="315" spans="2:21" ht="25.5" customHeight="1">
      <c r="B315" s="1414">
        <v>23</v>
      </c>
      <c r="C315" s="1415" t="s">
        <v>297</v>
      </c>
      <c r="D315" s="1416"/>
      <c r="E315" s="1417"/>
      <c r="F315" s="1417"/>
      <c r="G315" s="1417"/>
      <c r="H315" s="1418"/>
      <c r="I315" s="1417"/>
      <c r="J315" s="1417"/>
      <c r="K315" s="1419"/>
      <c r="L315" s="1417"/>
      <c r="M315" s="1417"/>
      <c r="N315" s="1417"/>
      <c r="O315" s="1417"/>
      <c r="P315" s="1423" t="str">
        <f t="shared" ref="P315:P316" si="156">IF(AND(D315="",E315="",F315="",G315=""),"",AVERAGE(D315:G315))</f>
        <v/>
      </c>
      <c r="Q315" s="1424"/>
      <c r="R315" s="1425" t="str">
        <f t="shared" ref="R315:R316" si="157">IF(AND(H315="",I315="",J315="",K315=""),"",AVERAGE(H315:K315))</f>
        <v/>
      </c>
      <c r="S315" s="1424"/>
      <c r="T315" s="1425" t="str">
        <f>IF(AND(L315="",M315="",N315="",O315=""),"",AVERAGE(L315:O315))</f>
        <v/>
      </c>
      <c r="U315" s="1426"/>
    </row>
    <row r="316" spans="2:21" ht="25.5" customHeight="1">
      <c r="B316" s="1414">
        <v>24</v>
      </c>
      <c r="C316" s="1415"/>
      <c r="D316" s="1416"/>
      <c r="E316" s="1417"/>
      <c r="F316" s="1417"/>
      <c r="G316" s="1417"/>
      <c r="H316" s="1418"/>
      <c r="I316" s="1417"/>
      <c r="J316" s="1417"/>
      <c r="K316" s="1419"/>
      <c r="L316" s="1417"/>
      <c r="M316" s="1417"/>
      <c r="N316" s="1417"/>
      <c r="O316" s="1417"/>
      <c r="P316" s="1427" t="str">
        <f t="shared" si="156"/>
        <v/>
      </c>
      <c r="Q316" s="1424"/>
      <c r="R316" s="1428" t="str">
        <f t="shared" si="157"/>
        <v/>
      </c>
      <c r="S316" s="1424"/>
      <c r="T316" s="1428" t="str">
        <f t="shared" ref="T316" si="158">IF(AND(L316="",M316="",N316="",O316=""),"",AVERAGE(L316:O316))</f>
        <v/>
      </c>
      <c r="U316" s="1426"/>
    </row>
    <row r="317" spans="2:21" ht="25.5" customHeight="1" thickBot="1">
      <c r="B317" s="1429">
        <v>25</v>
      </c>
      <c r="C317" s="1430"/>
      <c r="D317" s="1431"/>
      <c r="E317" s="1432"/>
      <c r="F317" s="1432"/>
      <c r="G317" s="1432"/>
      <c r="H317" s="1433"/>
      <c r="I317" s="1432"/>
      <c r="J317" s="1432"/>
      <c r="K317" s="1434"/>
      <c r="L317" s="1432"/>
      <c r="M317" s="1432"/>
      <c r="N317" s="1432"/>
      <c r="O317" s="1432"/>
      <c r="P317" s="1435" t="str">
        <f>IF(AND(D317="",E317="",F317="",G317=""),"",AVERAGE(D317:G317))</f>
        <v/>
      </c>
      <c r="Q317" s="1436"/>
      <c r="R317" s="1437" t="str">
        <f>IF(AND(H317="",I317="",J317="",K317=""),"",AVERAGE(H317:K317))</f>
        <v/>
      </c>
      <c r="S317" s="1436"/>
      <c r="T317" s="1437" t="str">
        <f>IF(AND(L317="",M317="",N317="",O317=""),"",AVERAGE(L317:O317))</f>
        <v/>
      </c>
      <c r="U317" s="1438"/>
    </row>
    <row r="318" spans="2:21" ht="25.5" customHeight="1" thickTop="1">
      <c r="B318" s="1439">
        <v>26</v>
      </c>
      <c r="C318" s="1440"/>
      <c r="D318" s="1441"/>
      <c r="E318" s="1442"/>
      <c r="F318" s="1442"/>
      <c r="G318" s="1442"/>
      <c r="H318" s="1443"/>
      <c r="I318" s="1442"/>
      <c r="J318" s="1442"/>
      <c r="K318" s="1444"/>
      <c r="L318" s="1442"/>
      <c r="M318" s="1442"/>
      <c r="N318" s="1442"/>
      <c r="O318" s="1442"/>
      <c r="P318" s="1445" t="str">
        <f>IF(AND(D318="",E318="",F318="",G318=""),"",AVERAGE(D318:G318))</f>
        <v/>
      </c>
      <c r="Q318" s="1725" t="e">
        <v>#N/A</v>
      </c>
      <c r="R318" s="1447" t="str">
        <f>IF(AND(H318="",I318="",J318="",K318=""),"",AVERAGE(H318:K318))</f>
        <v/>
      </c>
      <c r="S318" s="1725" t="e">
        <v>#N/A</v>
      </c>
      <c r="T318" s="1412" t="str">
        <f>IF(AND(L318="",M318="",N318="",O318=""),"",AVERAGE(L318:O318))</f>
        <v/>
      </c>
      <c r="U318" s="1729" t="e">
        <v>#N/A</v>
      </c>
    </row>
    <row r="319" spans="2:21" ht="25.5" customHeight="1">
      <c r="B319" s="1414">
        <v>27</v>
      </c>
      <c r="C319" s="1415" t="s">
        <v>298</v>
      </c>
      <c r="D319" s="1416"/>
      <c r="E319" s="1417"/>
      <c r="F319" s="1417"/>
      <c r="G319" s="1417"/>
      <c r="H319" s="1418"/>
      <c r="I319" s="1417"/>
      <c r="J319" s="1417"/>
      <c r="K319" s="1419"/>
      <c r="L319" s="1417"/>
      <c r="M319" s="1417"/>
      <c r="N319" s="1417"/>
      <c r="O319" s="1417"/>
      <c r="P319" s="1420" t="str">
        <f>IF(AND(D319="",E319="",F319="",G319=""),"",AVERAGE(D319:G319))</f>
        <v/>
      </c>
      <c r="Q319" s="1421"/>
      <c r="R319" s="1410" t="str">
        <f>IF(AND(H319="",I319="",J319="",K319=""),"",AVERAGE(H319:K319))</f>
        <v/>
      </c>
      <c r="S319" s="1421"/>
      <c r="T319" s="1410" t="str">
        <f>IF(AND(L319="",M319="",N319="",O319=""),"",AVERAGE(L319:O319))</f>
        <v/>
      </c>
      <c r="U319" s="1422"/>
    </row>
    <row r="320" spans="2:21" ht="25.5" customHeight="1">
      <c r="B320" s="1414">
        <v>28</v>
      </c>
      <c r="C320" s="1415"/>
      <c r="D320" s="1416"/>
      <c r="E320" s="1417"/>
      <c r="F320" s="1417"/>
      <c r="G320" s="1417"/>
      <c r="H320" s="1418"/>
      <c r="I320" s="1417"/>
      <c r="J320" s="1417"/>
      <c r="K320" s="1419"/>
      <c r="L320" s="1417"/>
      <c r="M320" s="1417"/>
      <c r="N320" s="1417"/>
      <c r="O320" s="1417"/>
      <c r="P320" s="1423" t="str">
        <f t="shared" ref="P320:P321" si="159">IF(AND(D320="",E320="",F320="",G320=""),"",AVERAGE(D320:G320))</f>
        <v/>
      </c>
      <c r="Q320" s="1424"/>
      <c r="R320" s="1425" t="str">
        <f t="shared" ref="R320:R321" si="160">IF(AND(H320="",I320="",J320="",K320=""),"",AVERAGE(H320:K320))</f>
        <v/>
      </c>
      <c r="S320" s="1424"/>
      <c r="T320" s="1425" t="str">
        <f>IF(AND(L320="",M320="",N320="",O320=""),"",AVERAGE(L320:O320))</f>
        <v/>
      </c>
      <c r="U320" s="1426"/>
    </row>
    <row r="321" spans="2:21" ht="25.5" customHeight="1">
      <c r="B321" s="1414">
        <v>29</v>
      </c>
      <c r="C321" s="1415"/>
      <c r="D321" s="1416"/>
      <c r="E321" s="1417"/>
      <c r="F321" s="1417"/>
      <c r="G321" s="1417"/>
      <c r="H321" s="1418"/>
      <c r="I321" s="1417"/>
      <c r="J321" s="1417"/>
      <c r="K321" s="1419"/>
      <c r="L321" s="1417"/>
      <c r="M321" s="1417"/>
      <c r="N321" s="1417"/>
      <c r="O321" s="1417"/>
      <c r="P321" s="1427" t="str">
        <f t="shared" si="159"/>
        <v/>
      </c>
      <c r="Q321" s="1424"/>
      <c r="R321" s="1428" t="str">
        <f t="shared" si="160"/>
        <v/>
      </c>
      <c r="S321" s="1424"/>
      <c r="T321" s="1428" t="str">
        <f t="shared" ref="T321" si="161">IF(AND(L321="",M321="",N321="",O321=""),"",AVERAGE(L321:O321))</f>
        <v/>
      </c>
      <c r="U321" s="1426"/>
    </row>
    <row r="322" spans="2:21" ht="25.5" customHeight="1">
      <c r="B322" s="1414">
        <v>30</v>
      </c>
      <c r="C322" s="1415"/>
      <c r="D322" s="1416"/>
      <c r="E322" s="1417"/>
      <c r="F322" s="1417"/>
      <c r="G322" s="1417"/>
      <c r="H322" s="1418"/>
      <c r="I322" s="1417"/>
      <c r="J322" s="1417"/>
      <c r="K322" s="1419"/>
      <c r="L322" s="1417"/>
      <c r="M322" s="1417"/>
      <c r="N322" s="1417"/>
      <c r="O322" s="1417"/>
      <c r="P322" s="1427" t="str">
        <f>IF(AND(D322="",E322="",F322="",G322=""),"",AVERAGE(D322:G322))</f>
        <v/>
      </c>
      <c r="Q322" s="1424"/>
      <c r="R322" s="1428" t="str">
        <f>IF(AND(H322="",I322="",J322="",K322=""),"",AVERAGE(H322:K322))</f>
        <v/>
      </c>
      <c r="S322" s="1424"/>
      <c r="T322" s="1428" t="str">
        <f>IF(AND(L322="",M322="",N322="",O322=""),"",AVERAGE(L322:O322))</f>
        <v/>
      </c>
      <c r="U322" s="1457"/>
    </row>
    <row r="323" spans="2:21" ht="25.5" customHeight="1" thickBot="1">
      <c r="B323" s="1451">
        <v>31</v>
      </c>
      <c r="C323" s="1452"/>
      <c r="D323" s="1453"/>
      <c r="E323" s="1454"/>
      <c r="F323" s="1454"/>
      <c r="G323" s="1454"/>
      <c r="H323" s="1455"/>
      <c r="I323" s="1454"/>
      <c r="J323" s="1454"/>
      <c r="K323" s="1456"/>
      <c r="L323" s="1454"/>
      <c r="M323" s="1454"/>
      <c r="N323" s="1454"/>
      <c r="O323" s="1454"/>
      <c r="P323" s="1427" t="str">
        <f>IF(AND(D323="",E323="",F323="",G323=""),"",AVERAGE(D323:G323))</f>
        <v/>
      </c>
      <c r="Q323" s="1458"/>
      <c r="R323" s="1435" t="str">
        <f>IF(AND(H323="",I323="",J323="",K323=""),"",AVERAGE(H323:K323))</f>
        <v/>
      </c>
      <c r="S323" s="1458"/>
      <c r="T323" s="1435" t="str">
        <f>IF(AND(L323="",M323="",N323="",O323=""),"",AVERAGE(L323:O323))</f>
        <v/>
      </c>
      <c r="U323" s="1426"/>
    </row>
    <row r="324" spans="2:21" ht="25.5" customHeight="1" thickTop="1">
      <c r="B324" s="1403">
        <v>1</v>
      </c>
      <c r="C324" s="1404"/>
      <c r="D324" s="1405"/>
      <c r="E324" s="1406"/>
      <c r="F324" s="1406"/>
      <c r="G324" s="1406"/>
      <c r="H324" s="1407"/>
      <c r="I324" s="1406"/>
      <c r="J324" s="1406"/>
      <c r="K324" s="1408"/>
      <c r="L324" s="1406"/>
      <c r="M324" s="1406"/>
      <c r="N324" s="1406"/>
      <c r="O324" s="1406"/>
      <c r="P324" s="1445" t="str">
        <f>IF(AND(D324="",E324="",F324="",G324=""),"",AVERAGE(D324:G324))</f>
        <v/>
      </c>
      <c r="Q324" s="1726" t="e">
        <v>#N/A</v>
      </c>
      <c r="R324" s="1412" t="str">
        <f>IF(AND(H324="",I324="",J324="",K324=""),"",AVERAGE(H324:K324))</f>
        <v/>
      </c>
      <c r="S324" s="1725" t="e">
        <v>#N/A</v>
      </c>
      <c r="T324" s="1412" t="str">
        <f>IF(AND(L324="",M324="",N324="",O324=""),"",AVERAGE(L324:O324))</f>
        <v/>
      </c>
      <c r="U324" s="1732" t="e">
        <v>#N/A</v>
      </c>
    </row>
    <row r="325" spans="2:21" ht="25.5" customHeight="1">
      <c r="B325" s="1414">
        <v>2</v>
      </c>
      <c r="C325" s="1415"/>
      <c r="D325" s="1416"/>
      <c r="E325" s="1417"/>
      <c r="F325" s="1417"/>
      <c r="G325" s="1417"/>
      <c r="H325" s="1418"/>
      <c r="I325" s="1417"/>
      <c r="J325" s="1417"/>
      <c r="K325" s="1419"/>
      <c r="L325" s="1417"/>
      <c r="M325" s="1417"/>
      <c r="N325" s="1417"/>
      <c r="O325" s="1417"/>
      <c r="P325" s="1420" t="str">
        <f>IF(AND(D325="",E325="",F325="",G325=""),"",AVERAGE(D325:G325))</f>
        <v/>
      </c>
      <c r="Q325" s="1421"/>
      <c r="R325" s="1410" t="str">
        <f>IF(AND(H325="",I325="",J325="",K325=""),"",AVERAGE(H325:K325))</f>
        <v/>
      </c>
      <c r="S325" s="1421"/>
      <c r="T325" s="1410" t="str">
        <f>IF(AND(L325="",M325="",N325="",O325=""),"",AVERAGE(L325:O325))</f>
        <v/>
      </c>
      <c r="U325" s="1422"/>
    </row>
    <row r="326" spans="2:21" ht="25.5" customHeight="1">
      <c r="B326" s="1414">
        <v>3</v>
      </c>
      <c r="C326" s="1415"/>
      <c r="D326" s="1416"/>
      <c r="E326" s="1417"/>
      <c r="F326" s="1417"/>
      <c r="G326" s="1417"/>
      <c r="H326" s="1418"/>
      <c r="I326" s="1417"/>
      <c r="J326" s="1417"/>
      <c r="K326" s="1419"/>
      <c r="L326" s="1417"/>
      <c r="M326" s="1417"/>
      <c r="N326" s="1417"/>
      <c r="O326" s="1417"/>
      <c r="P326" s="1423" t="str">
        <f t="shared" ref="P326:P327" si="162">IF(AND(D326="",E326="",F326="",G326=""),"",AVERAGE(D326:G326))</f>
        <v/>
      </c>
      <c r="Q326" s="1424"/>
      <c r="R326" s="1425" t="str">
        <f t="shared" ref="R326:R327" si="163">IF(AND(H326="",I326="",J326="",K326=""),"",AVERAGE(H326:K326))</f>
        <v/>
      </c>
      <c r="S326" s="1424"/>
      <c r="T326" s="1425" t="str">
        <f>IF(AND(L326="",M326="",N326="",O326=""),"",AVERAGE(L326:O326))</f>
        <v/>
      </c>
      <c r="U326" s="1426"/>
    </row>
    <row r="327" spans="2:21" ht="25.5" customHeight="1">
      <c r="B327" s="1414">
        <v>4</v>
      </c>
      <c r="C327" s="1415" t="s">
        <v>299</v>
      </c>
      <c r="D327" s="1416"/>
      <c r="E327" s="1417"/>
      <c r="F327" s="1417"/>
      <c r="G327" s="1417"/>
      <c r="H327" s="1418"/>
      <c r="I327" s="1417"/>
      <c r="J327" s="1417"/>
      <c r="K327" s="1419"/>
      <c r="L327" s="1417"/>
      <c r="M327" s="1417"/>
      <c r="N327" s="1417"/>
      <c r="O327" s="1417"/>
      <c r="P327" s="1427" t="str">
        <f t="shared" si="162"/>
        <v/>
      </c>
      <c r="Q327" s="1424"/>
      <c r="R327" s="1428" t="str">
        <f t="shared" si="163"/>
        <v/>
      </c>
      <c r="S327" s="1424"/>
      <c r="T327" s="1428" t="str">
        <f t="shared" ref="T327" si="164">IF(AND(L327="",M327="",N327="",O327=""),"",AVERAGE(L327:O327))</f>
        <v/>
      </c>
      <c r="U327" s="1426"/>
    </row>
    <row r="328" spans="2:21" ht="25.5" customHeight="1" thickBot="1">
      <c r="B328" s="1460">
        <v>5</v>
      </c>
      <c r="C328" s="1461"/>
      <c r="D328" s="1462"/>
      <c r="E328" s="1463"/>
      <c r="F328" s="1463"/>
      <c r="G328" s="1463"/>
      <c r="H328" s="1464"/>
      <c r="I328" s="1463"/>
      <c r="J328" s="1463"/>
      <c r="K328" s="1465"/>
      <c r="L328" s="1463"/>
      <c r="M328" s="1463"/>
      <c r="N328" s="1463"/>
      <c r="O328" s="1463"/>
      <c r="P328" s="1466" t="str">
        <f>IF(AND(D328="",E328="",F328="",G328=""),"",AVERAGE(D328:G328))</f>
        <v/>
      </c>
      <c r="Q328" s="1468"/>
      <c r="R328" s="1467" t="str">
        <f>IF(AND(H328="",I328="",J328="",K328=""),"",AVERAGE(H328:K328))</f>
        <v/>
      </c>
      <c r="S328" s="1468"/>
      <c r="T328" s="1467" t="str">
        <f>IF(AND(L328="",M328="",N328="",O328=""),"",AVERAGE(L328:O328))</f>
        <v/>
      </c>
      <c r="U328" s="1469"/>
    </row>
    <row r="329" spans="2:21" ht="25.5" customHeight="1"/>
    <row r="330" spans="2:21" ht="25.5" customHeight="1" thickBot="1">
      <c r="B330" s="1914" t="s">
        <v>419</v>
      </c>
      <c r="C330" s="1914"/>
      <c r="D330" s="1914"/>
      <c r="E330" s="1914"/>
      <c r="F330" s="1914"/>
      <c r="G330" s="1914"/>
      <c r="H330" s="1242">
        <f>H2</f>
        <v>2026</v>
      </c>
      <c r="I330" s="1242" t="s">
        <v>420</v>
      </c>
      <c r="J330" s="1242">
        <v>11</v>
      </c>
      <c r="K330" s="1242" t="s">
        <v>421</v>
      </c>
      <c r="L330" s="1241"/>
      <c r="M330" s="1241"/>
      <c r="N330" s="1241"/>
      <c r="O330" s="1401"/>
      <c r="P330" s="1401"/>
      <c r="Q330" s="1401"/>
      <c r="R330" s="1401"/>
      <c r="S330" s="1401"/>
      <c r="T330" s="1401"/>
      <c r="U330" s="1401"/>
    </row>
    <row r="331" spans="2:21" ht="25.5" customHeight="1">
      <c r="B331" s="1915"/>
      <c r="C331" s="1918" t="s">
        <v>422</v>
      </c>
      <c r="D331" s="1921" t="s">
        <v>423</v>
      </c>
      <c r="E331" s="1922"/>
      <c r="F331" s="1922"/>
      <c r="G331" s="1923"/>
      <c r="H331" s="1924" t="s">
        <v>424</v>
      </c>
      <c r="I331" s="1922"/>
      <c r="J331" s="1922"/>
      <c r="K331" s="1923"/>
      <c r="L331" s="1924" t="s">
        <v>440</v>
      </c>
      <c r="M331" s="1922"/>
      <c r="N331" s="1922"/>
      <c r="O331" s="1922"/>
      <c r="P331" s="1924" t="s">
        <v>426</v>
      </c>
      <c r="Q331" s="1923"/>
      <c r="R331" s="1922" t="s">
        <v>424</v>
      </c>
      <c r="S331" s="1923"/>
      <c r="T331" s="1922" t="s">
        <v>425</v>
      </c>
      <c r="U331" s="1927"/>
    </row>
    <row r="332" spans="2:21" ht="25.5" customHeight="1">
      <c r="B332" s="1916"/>
      <c r="C332" s="1919"/>
      <c r="D332" s="1239" t="s">
        <v>429</v>
      </c>
      <c r="E332" s="1238" t="s">
        <v>430</v>
      </c>
      <c r="F332" s="1238" t="s">
        <v>431</v>
      </c>
      <c r="G332" s="1237" t="s">
        <v>432</v>
      </c>
      <c r="H332" s="1236" t="s">
        <v>429</v>
      </c>
      <c r="I332" s="1238" t="s">
        <v>430</v>
      </c>
      <c r="J332" s="1238" t="s">
        <v>431</v>
      </c>
      <c r="K332" s="1237" t="s">
        <v>432</v>
      </c>
      <c r="L332" s="1235" t="s">
        <v>429</v>
      </c>
      <c r="M332" s="1238" t="s">
        <v>430</v>
      </c>
      <c r="N332" s="1238" t="s">
        <v>431</v>
      </c>
      <c r="O332" s="1234" t="s">
        <v>432</v>
      </c>
      <c r="P332" s="1928" t="s">
        <v>433</v>
      </c>
      <c r="Q332" s="1930" t="s">
        <v>434</v>
      </c>
      <c r="R332" s="1932" t="s">
        <v>435</v>
      </c>
      <c r="S332" s="1930" t="s">
        <v>434</v>
      </c>
      <c r="T332" s="1932" t="s">
        <v>435</v>
      </c>
      <c r="U332" s="1925" t="s">
        <v>441</v>
      </c>
    </row>
    <row r="333" spans="2:21" ht="25.5" customHeight="1" thickBot="1">
      <c r="B333" s="1917"/>
      <c r="C333" s="1920"/>
      <c r="D333" s="1233">
        <v>1</v>
      </c>
      <c r="E333" s="1232">
        <v>2</v>
      </c>
      <c r="F333" s="1232">
        <v>3</v>
      </c>
      <c r="G333" s="1231">
        <v>4</v>
      </c>
      <c r="H333" s="1230">
        <v>1</v>
      </c>
      <c r="I333" s="1232">
        <v>2</v>
      </c>
      <c r="J333" s="1232">
        <v>3</v>
      </c>
      <c r="K333" s="1231">
        <v>4</v>
      </c>
      <c r="L333" s="1229">
        <v>1</v>
      </c>
      <c r="M333" s="1232">
        <v>2</v>
      </c>
      <c r="N333" s="1232">
        <v>3</v>
      </c>
      <c r="O333" s="1232">
        <v>4</v>
      </c>
      <c r="P333" s="1929"/>
      <c r="Q333" s="1931"/>
      <c r="R333" s="1933"/>
      <c r="S333" s="1931"/>
      <c r="T333" s="1933"/>
      <c r="U333" s="1926"/>
    </row>
    <row r="334" spans="2:21" ht="25.5" customHeight="1">
      <c r="B334" s="1403">
        <v>1</v>
      </c>
      <c r="C334" s="1404"/>
      <c r="D334" s="1799"/>
      <c r="E334" s="1800"/>
      <c r="F334" s="1800"/>
      <c r="G334" s="1800"/>
      <c r="H334" s="1801"/>
      <c r="I334" s="1800"/>
      <c r="J334" s="1800"/>
      <c r="K334" s="1802"/>
      <c r="L334" s="1800"/>
      <c r="M334" s="1800"/>
      <c r="N334" s="1800"/>
      <c r="O334" s="1802"/>
      <c r="P334" s="1409" t="str">
        <f>IF(AND(D334="",E334="",F334="",G334=""),"",AVERAGE(D334:G334))</f>
        <v/>
      </c>
      <c r="Q334" s="1411" t="s">
        <v>437</v>
      </c>
      <c r="R334" s="1412" t="str">
        <f>IF(AND(H334="",I334="",J334="",K334=""),"",AVERAGE(H334:K334))</f>
        <v/>
      </c>
      <c r="S334" s="1411" t="s">
        <v>438</v>
      </c>
      <c r="T334" s="1412" t="str">
        <f>IF(AND(L334="",M334="",N334="",O334=""),"",AVERAGE(L334:O334))</f>
        <v/>
      </c>
      <c r="U334" s="1413" t="s">
        <v>437</v>
      </c>
    </row>
    <row r="335" spans="2:21" ht="25.5" customHeight="1">
      <c r="B335" s="1414">
        <v>2</v>
      </c>
      <c r="C335" s="1415"/>
      <c r="D335" s="1803"/>
      <c r="E335" s="1804"/>
      <c r="F335" s="1804"/>
      <c r="G335" s="1804"/>
      <c r="H335" s="1805"/>
      <c r="I335" s="1804"/>
      <c r="J335" s="1804"/>
      <c r="K335" s="1806"/>
      <c r="L335" s="1804"/>
      <c r="M335" s="1804"/>
      <c r="N335" s="1804"/>
      <c r="O335" s="1806"/>
      <c r="P335" s="1420" t="str">
        <f>IF(AND(D335="",E335="",F335="",G335=""),"",AVERAGE(D335:G335))</f>
        <v/>
      </c>
      <c r="Q335" s="1421"/>
      <c r="R335" s="1410" t="str">
        <f>IF(AND(H335="",I335="",J335="",K335=""),"",AVERAGE(H335:K335))</f>
        <v/>
      </c>
      <c r="S335" s="1421"/>
      <c r="T335" s="1410" t="str">
        <f>IF(AND(L335="",M335="",N335="",O335=""),"",AVERAGE(L335:O335))</f>
        <v/>
      </c>
      <c r="U335" s="1422"/>
    </row>
    <row r="336" spans="2:21" ht="25.5" customHeight="1">
      <c r="B336" s="1414">
        <v>3</v>
      </c>
      <c r="C336" s="1415"/>
      <c r="D336" s="1803"/>
      <c r="E336" s="1804"/>
      <c r="F336" s="1804"/>
      <c r="G336" s="1804"/>
      <c r="H336" s="1805"/>
      <c r="I336" s="1804"/>
      <c r="J336" s="1804"/>
      <c r="K336" s="1806"/>
      <c r="L336" s="1804"/>
      <c r="M336" s="1804"/>
      <c r="N336" s="1804"/>
      <c r="O336" s="1806"/>
      <c r="P336" s="1423" t="str">
        <f t="shared" ref="P336:P337" si="165">IF(AND(D336="",E336="",F336="",G336=""),"",AVERAGE(D336:G336))</f>
        <v/>
      </c>
      <c r="Q336" s="1424"/>
      <c r="R336" s="1425" t="str">
        <f t="shared" ref="R336:R337" si="166">IF(AND(H336="",I336="",J336="",K336=""),"",AVERAGE(H336:K336))</f>
        <v/>
      </c>
      <c r="S336" s="1424"/>
      <c r="T336" s="1425" t="str">
        <f>IF(AND(L336="",M336="",N336="",O336=""),"",AVERAGE(L336:O336))</f>
        <v/>
      </c>
      <c r="U336" s="1426"/>
    </row>
    <row r="337" spans="2:21" ht="25.5" customHeight="1">
      <c r="B337" s="1414">
        <v>4</v>
      </c>
      <c r="C337" s="1415"/>
      <c r="D337" s="1803"/>
      <c r="E337" s="1804"/>
      <c r="F337" s="1804"/>
      <c r="G337" s="1804"/>
      <c r="H337" s="1805"/>
      <c r="I337" s="1804"/>
      <c r="J337" s="1804"/>
      <c r="K337" s="1806"/>
      <c r="L337" s="1804"/>
      <c r="M337" s="1804"/>
      <c r="N337" s="1804"/>
      <c r="O337" s="1806"/>
      <c r="P337" s="1427" t="str">
        <f t="shared" si="165"/>
        <v/>
      </c>
      <c r="Q337" s="1424"/>
      <c r="R337" s="1428" t="str">
        <f t="shared" si="166"/>
        <v/>
      </c>
      <c r="S337" s="1424"/>
      <c r="T337" s="1428" t="str">
        <f t="shared" ref="T337" si="167">IF(AND(L337="",M337="",N337="",O337=""),"",AVERAGE(L337:O337))</f>
        <v/>
      </c>
      <c r="U337" s="1426"/>
    </row>
    <row r="338" spans="2:21" ht="25.5" customHeight="1" thickBot="1">
      <c r="B338" s="1429">
        <v>5</v>
      </c>
      <c r="C338" s="1430"/>
      <c r="D338" s="1807"/>
      <c r="E338" s="1808"/>
      <c r="F338" s="1808"/>
      <c r="G338" s="1808"/>
      <c r="H338" s="1809"/>
      <c r="I338" s="1808"/>
      <c r="J338" s="1808"/>
      <c r="K338" s="1810"/>
      <c r="L338" s="1808"/>
      <c r="M338" s="1808"/>
      <c r="N338" s="1808"/>
      <c r="O338" s="1810"/>
      <c r="P338" s="1435" t="str">
        <f>IF(AND(D338="",E338="",F338="",G338=""),"",AVERAGE(D338:G338))</f>
        <v/>
      </c>
      <c r="Q338" s="1436"/>
      <c r="R338" s="1437" t="str">
        <f>IF(AND(H338="",I338="",J338="",K338=""),"",AVERAGE(H338:K338))</f>
        <v/>
      </c>
      <c r="S338" s="1436"/>
      <c r="T338" s="1437" t="str">
        <f>IF(AND(L338="",M338="",N338="",O338=""),"",AVERAGE(L338:O338))</f>
        <v/>
      </c>
      <c r="U338" s="1438"/>
    </row>
    <row r="339" spans="2:21" ht="25.5" customHeight="1" thickTop="1">
      <c r="B339" s="1439">
        <v>6</v>
      </c>
      <c r="C339" s="1440" t="s">
        <v>294</v>
      </c>
      <c r="D339" s="1441"/>
      <c r="E339" s="1442"/>
      <c r="F339" s="1442"/>
      <c r="G339" s="1442"/>
      <c r="H339" s="1443"/>
      <c r="I339" s="1442"/>
      <c r="J339" s="1442"/>
      <c r="K339" s="1444"/>
      <c r="L339" s="1442"/>
      <c r="M339" s="1442"/>
      <c r="N339" s="1442"/>
      <c r="O339" s="1442"/>
      <c r="P339" s="1445" t="str">
        <f>IF(AND(D339="",E339="",F339="",G339=""),"",AVERAGE(D339:G339))</f>
        <v/>
      </c>
      <c r="Q339" s="1738" t="e">
        <v>#N/A</v>
      </c>
      <c r="R339" s="1447" t="str">
        <f>IF(AND(H339="",I339="",J339="",K339=""),"",AVERAGE(H339:K339))</f>
        <v/>
      </c>
      <c r="S339" s="1724" t="e">
        <v>#N/A</v>
      </c>
      <c r="T339" s="1412" t="str">
        <f>IF(AND(L339="",M339="",N339="",O339=""),"",AVERAGE(L339:O339))</f>
        <v/>
      </c>
      <c r="U339" s="1739" t="e">
        <v>#N/A</v>
      </c>
    </row>
    <row r="340" spans="2:21" ht="25.5" customHeight="1">
      <c r="B340" s="1414">
        <v>7</v>
      </c>
      <c r="C340" s="1415"/>
      <c r="D340" s="1416"/>
      <c r="E340" s="1417"/>
      <c r="F340" s="1417"/>
      <c r="G340" s="1417"/>
      <c r="H340" s="1418"/>
      <c r="I340" s="1417"/>
      <c r="J340" s="1417"/>
      <c r="K340" s="1419"/>
      <c r="L340" s="1417"/>
      <c r="M340" s="1417"/>
      <c r="N340" s="1417"/>
      <c r="O340" s="1417"/>
      <c r="P340" s="1420" t="str">
        <f>IF(AND(D340="",E340="",F340="",G340=""),"",AVERAGE(D340:G340))</f>
        <v/>
      </c>
      <c r="Q340" s="1421"/>
      <c r="R340" s="1410" t="str">
        <f>IF(AND(H340="",I340="",J340="",K340=""),"",AVERAGE(H340:K340))</f>
        <v/>
      </c>
      <c r="S340" s="1421"/>
      <c r="T340" s="1410" t="str">
        <f>IF(AND(L340="",M340="",N340="",O340=""),"",AVERAGE(L340:O340))</f>
        <v/>
      </c>
      <c r="U340" s="1422"/>
    </row>
    <row r="341" spans="2:21" ht="25.5" customHeight="1">
      <c r="B341" s="1414">
        <v>8</v>
      </c>
      <c r="C341" s="1415"/>
      <c r="D341" s="1416"/>
      <c r="E341" s="1417"/>
      <c r="F341" s="1417"/>
      <c r="G341" s="1417"/>
      <c r="H341" s="1418"/>
      <c r="I341" s="1417"/>
      <c r="J341" s="1417"/>
      <c r="K341" s="1419"/>
      <c r="L341" s="1417"/>
      <c r="M341" s="1417"/>
      <c r="N341" s="1417"/>
      <c r="O341" s="1417"/>
      <c r="P341" s="1423" t="str">
        <f t="shared" ref="P341:P342" si="168">IF(AND(D341="",E341="",F341="",G341=""),"",AVERAGE(D341:G341))</f>
        <v/>
      </c>
      <c r="Q341" s="1424"/>
      <c r="R341" s="1425" t="str">
        <f t="shared" ref="R341:R342" si="169">IF(AND(H341="",I341="",J341="",K341=""),"",AVERAGE(H341:K341))</f>
        <v/>
      </c>
      <c r="S341" s="1424"/>
      <c r="T341" s="1425" t="str">
        <f>IF(AND(L341="",M341="",N341="",O341=""),"",AVERAGE(L341:O341))</f>
        <v/>
      </c>
      <c r="U341" s="1426"/>
    </row>
    <row r="342" spans="2:21" ht="25.5" customHeight="1">
      <c r="B342" s="1414">
        <v>9</v>
      </c>
      <c r="C342" s="1415"/>
      <c r="D342" s="1416"/>
      <c r="E342" s="1417"/>
      <c r="F342" s="1417"/>
      <c r="G342" s="1417"/>
      <c r="H342" s="1418"/>
      <c r="I342" s="1417"/>
      <c r="J342" s="1417"/>
      <c r="K342" s="1419"/>
      <c r="L342" s="1417"/>
      <c r="M342" s="1417"/>
      <c r="N342" s="1417"/>
      <c r="O342" s="1450"/>
      <c r="P342" s="1427" t="str">
        <f t="shared" si="168"/>
        <v/>
      </c>
      <c r="Q342" s="1424"/>
      <c r="R342" s="1428" t="str">
        <f t="shared" si="169"/>
        <v/>
      </c>
      <c r="S342" s="1424"/>
      <c r="T342" s="1428" t="str">
        <f t="shared" ref="T342" si="170">IF(AND(L342="",M342="",N342="",O342=""),"",AVERAGE(L342:O342))</f>
        <v/>
      </c>
      <c r="U342" s="1426"/>
    </row>
    <row r="343" spans="2:21" ht="25.5" customHeight="1" thickBot="1">
      <c r="B343" s="1451">
        <v>10</v>
      </c>
      <c r="C343" s="1452"/>
      <c r="D343" s="1453"/>
      <c r="E343" s="1454"/>
      <c r="F343" s="1454"/>
      <c r="G343" s="1454"/>
      <c r="H343" s="1455"/>
      <c r="I343" s="1454"/>
      <c r="J343" s="1454"/>
      <c r="K343" s="1456"/>
      <c r="L343" s="1454"/>
      <c r="M343" s="1454"/>
      <c r="N343" s="1454"/>
      <c r="O343" s="1454"/>
      <c r="P343" s="1435" t="str">
        <f>IF(AND(D343="",E343="",F343="",G343=""),"",AVERAGE(D343:G343))</f>
        <v/>
      </c>
      <c r="Q343" s="1436"/>
      <c r="R343" s="1437" t="str">
        <f>IF(AND(H343="",I343="",J343="",K343=""),"",AVERAGE(H343:K343))</f>
        <v/>
      </c>
      <c r="S343" s="1436"/>
      <c r="T343" s="1437" t="str">
        <f>IF(AND(L343="",M343="",N343="",O343=""),"",AVERAGE(L343:O343))</f>
        <v/>
      </c>
      <c r="U343" s="1438"/>
    </row>
    <row r="344" spans="2:21" ht="25.5" customHeight="1" thickTop="1">
      <c r="B344" s="1403">
        <v>11</v>
      </c>
      <c r="C344" s="1404" t="s">
        <v>295</v>
      </c>
      <c r="D344" s="1405"/>
      <c r="E344" s="1406"/>
      <c r="F344" s="1406"/>
      <c r="G344" s="1406"/>
      <c r="H344" s="1407"/>
      <c r="I344" s="1406"/>
      <c r="J344" s="1406"/>
      <c r="K344" s="1408"/>
      <c r="L344" s="1406"/>
      <c r="M344" s="1406"/>
      <c r="N344" s="1406"/>
      <c r="O344" s="1406"/>
      <c r="P344" s="1445" t="str">
        <f>IF(AND(D344="",E344="",F344="",G344=""),"",AVERAGE(D344:G344))</f>
        <v/>
      </c>
      <c r="Q344" s="1446" t="e">
        <v>#N/A</v>
      </c>
      <c r="R344" s="1447" t="str">
        <f>IF(AND(H344="",I344="",J344="",K344=""),"",AVERAGE(H344:K344))</f>
        <v/>
      </c>
      <c r="S344" s="1448" t="e">
        <v>#N/A</v>
      </c>
      <c r="T344" s="1412" t="str">
        <f>IF(AND(L344="",M344="",N344="",O344=""),"",AVERAGE(L344:O344))</f>
        <v/>
      </c>
      <c r="U344" s="1449" t="e">
        <v>#N/A</v>
      </c>
    </row>
    <row r="345" spans="2:21" ht="25.5" customHeight="1">
      <c r="B345" s="1414">
        <v>12</v>
      </c>
      <c r="C345" s="1415"/>
      <c r="D345" s="1416"/>
      <c r="E345" s="1417"/>
      <c r="F345" s="1417"/>
      <c r="G345" s="1417"/>
      <c r="H345" s="1418"/>
      <c r="I345" s="1417"/>
      <c r="J345" s="1417"/>
      <c r="K345" s="1419"/>
      <c r="L345" s="1417"/>
      <c r="M345" s="1417"/>
      <c r="N345" s="1417"/>
      <c r="O345" s="1417"/>
      <c r="P345" s="1420" t="str">
        <f>IF(AND(D345="",E345="",F345="",G345=""),"",AVERAGE(D345:G345))</f>
        <v/>
      </c>
      <c r="Q345" s="1421"/>
      <c r="R345" s="1410" t="str">
        <f>IF(AND(H345="",I345="",J345="",K345=""),"",AVERAGE(H345:K345))</f>
        <v/>
      </c>
      <c r="S345" s="1421"/>
      <c r="T345" s="1410" t="str">
        <f>IF(AND(L345="",M345="",N345="",O345=""),"",AVERAGE(L345:O345))</f>
        <v/>
      </c>
      <c r="U345" s="1422"/>
    </row>
    <row r="346" spans="2:21" ht="25.5" customHeight="1">
      <c r="B346" s="1414">
        <v>13</v>
      </c>
      <c r="C346" s="1415"/>
      <c r="D346" s="1416"/>
      <c r="E346" s="1417"/>
      <c r="F346" s="1417"/>
      <c r="G346" s="1417"/>
      <c r="H346" s="1418"/>
      <c r="I346" s="1417"/>
      <c r="J346" s="1417"/>
      <c r="K346" s="1419"/>
      <c r="L346" s="1417"/>
      <c r="M346" s="1417"/>
      <c r="N346" s="1417"/>
      <c r="O346" s="1417"/>
      <c r="P346" s="1423" t="str">
        <f t="shared" ref="P346:P347" si="171">IF(AND(D346="",E346="",F346="",G346=""),"",AVERAGE(D346:G346))</f>
        <v/>
      </c>
      <c r="Q346" s="1424"/>
      <c r="R346" s="1425" t="str">
        <f t="shared" ref="R346:R347" si="172">IF(AND(H346="",I346="",J346="",K346=""),"",AVERAGE(H346:K346))</f>
        <v/>
      </c>
      <c r="S346" s="1424"/>
      <c r="T346" s="1425" t="str">
        <f>IF(AND(L346="",M346="",N346="",O346=""),"",AVERAGE(L346:O346))</f>
        <v/>
      </c>
      <c r="U346" s="1426"/>
    </row>
    <row r="347" spans="2:21" ht="25.5" customHeight="1">
      <c r="B347" s="1414">
        <v>14</v>
      </c>
      <c r="C347" s="1415"/>
      <c r="D347" s="1416"/>
      <c r="E347" s="1417"/>
      <c r="F347" s="1417"/>
      <c r="G347" s="1417"/>
      <c r="H347" s="1418"/>
      <c r="I347" s="1417"/>
      <c r="J347" s="1417"/>
      <c r="K347" s="1419"/>
      <c r="L347" s="1417"/>
      <c r="M347" s="1417"/>
      <c r="N347" s="1417"/>
      <c r="O347" s="1417"/>
      <c r="P347" s="1427" t="str">
        <f t="shared" si="171"/>
        <v/>
      </c>
      <c r="Q347" s="1424"/>
      <c r="R347" s="1428" t="str">
        <f t="shared" si="172"/>
        <v/>
      </c>
      <c r="S347" s="1424"/>
      <c r="T347" s="1428" t="str">
        <f t="shared" ref="T347" si="173">IF(AND(L347="",M347="",N347="",O347=""),"",AVERAGE(L347:O347))</f>
        <v/>
      </c>
      <c r="U347" s="1426"/>
    </row>
    <row r="348" spans="2:21" ht="25.5" customHeight="1" thickBot="1">
      <c r="B348" s="1429">
        <v>15</v>
      </c>
      <c r="C348" s="1430"/>
      <c r="D348" s="1431"/>
      <c r="E348" s="1432"/>
      <c r="F348" s="1432"/>
      <c r="G348" s="1432"/>
      <c r="H348" s="1433"/>
      <c r="I348" s="1432"/>
      <c r="J348" s="1432"/>
      <c r="K348" s="1434"/>
      <c r="L348" s="1432"/>
      <c r="M348" s="1432"/>
      <c r="N348" s="1432"/>
      <c r="O348" s="1432"/>
      <c r="P348" s="1435" t="str">
        <f>IF(AND(D348="",E348="",F348="",G348=""),"",AVERAGE(D348:G348))</f>
        <v/>
      </c>
      <c r="Q348" s="1436"/>
      <c r="R348" s="1437" t="str">
        <f>IF(AND(H348="",I348="",J348="",K348=""),"",AVERAGE(H348:K348))</f>
        <v/>
      </c>
      <c r="S348" s="1436"/>
      <c r="T348" s="1437" t="str">
        <f>IF(AND(L348="",M348="",N348="",O348=""),"",AVERAGE(L348:O348))</f>
        <v/>
      </c>
      <c r="U348" s="1438"/>
    </row>
    <row r="349" spans="2:21" ht="25.5" customHeight="1" thickTop="1">
      <c r="B349" s="1439">
        <v>16</v>
      </c>
      <c r="C349" s="1440"/>
      <c r="D349" s="1441"/>
      <c r="E349" s="1442"/>
      <c r="F349" s="1442"/>
      <c r="G349" s="1442"/>
      <c r="H349" s="1443"/>
      <c r="I349" s="1442"/>
      <c r="J349" s="1442"/>
      <c r="K349" s="1444"/>
      <c r="L349" s="1442"/>
      <c r="M349" s="1442"/>
      <c r="N349" s="1442"/>
      <c r="O349" s="1442"/>
      <c r="P349" s="1445" t="str">
        <f>IF(AND(D349="",E349="",F349="",G349=""),"",AVERAGE(D349:G349))</f>
        <v/>
      </c>
      <c r="Q349" s="1726" t="e">
        <v>#N/A</v>
      </c>
      <c r="R349" s="1447" t="str">
        <f>IF(AND(H349="",I349="",J349="",K349=""),"",AVERAGE(H349:K349))</f>
        <v/>
      </c>
      <c r="S349" s="1725" t="e">
        <v>#N/A</v>
      </c>
      <c r="T349" s="1412" t="str">
        <f>IF(AND(L349="",M349="",N349="",O349=""),"",AVERAGE(L349:O349))</f>
        <v/>
      </c>
      <c r="U349" s="1732" t="e">
        <v>#N/A</v>
      </c>
    </row>
    <row r="350" spans="2:21" ht="25.5" customHeight="1">
      <c r="B350" s="1414">
        <v>17</v>
      </c>
      <c r="C350" s="1415"/>
      <c r="D350" s="1416"/>
      <c r="E350" s="1417"/>
      <c r="F350" s="1417"/>
      <c r="G350" s="1417"/>
      <c r="H350" s="1418"/>
      <c r="I350" s="1417"/>
      <c r="J350" s="1417"/>
      <c r="K350" s="1419"/>
      <c r="L350" s="1417"/>
      <c r="M350" s="1417"/>
      <c r="N350" s="1417"/>
      <c r="O350" s="1417"/>
      <c r="P350" s="1420" t="str">
        <f>IF(AND(D350="",E350="",F350="",G350=""),"",AVERAGE(D350:G350))</f>
        <v/>
      </c>
      <c r="Q350" s="1421"/>
      <c r="R350" s="1410" t="str">
        <f>IF(AND(H350="",I350="",J350="",K350=""),"",AVERAGE(H350:K350))</f>
        <v/>
      </c>
      <c r="S350" s="1421"/>
      <c r="T350" s="1410" t="str">
        <f>IF(AND(L350="",M350="",N350="",O350=""),"",AVERAGE(L350:O350))</f>
        <v/>
      </c>
      <c r="U350" s="1422"/>
    </row>
    <row r="351" spans="2:21" ht="25.5" customHeight="1">
      <c r="B351" s="1414">
        <v>18</v>
      </c>
      <c r="C351" s="1415" t="s">
        <v>296</v>
      </c>
      <c r="D351" s="1416"/>
      <c r="E351" s="1417"/>
      <c r="F351" s="1417"/>
      <c r="G351" s="1417"/>
      <c r="H351" s="1418"/>
      <c r="I351" s="1417"/>
      <c r="J351" s="1417"/>
      <c r="K351" s="1419"/>
      <c r="L351" s="1417"/>
      <c r="M351" s="1417"/>
      <c r="N351" s="1417"/>
      <c r="O351" s="1417"/>
      <c r="P351" s="1423" t="str">
        <f t="shared" ref="P351:P352" si="174">IF(AND(D351="",E351="",F351="",G351=""),"",AVERAGE(D351:G351))</f>
        <v/>
      </c>
      <c r="Q351" s="1424"/>
      <c r="R351" s="1425" t="str">
        <f t="shared" ref="R351:R352" si="175">IF(AND(H351="",I351="",J351="",K351=""),"",AVERAGE(H351:K351))</f>
        <v/>
      </c>
      <c r="S351" s="1424"/>
      <c r="T351" s="1425" t="str">
        <f>IF(AND(L351="",M351="",N351="",O351=""),"",AVERAGE(L351:O351))</f>
        <v/>
      </c>
      <c r="U351" s="1426"/>
    </row>
    <row r="352" spans="2:21" ht="25.5" customHeight="1">
      <c r="B352" s="1414">
        <v>19</v>
      </c>
      <c r="C352" s="1415"/>
      <c r="D352" s="1416"/>
      <c r="E352" s="1417"/>
      <c r="F352" s="1417"/>
      <c r="G352" s="1417"/>
      <c r="H352" s="1418"/>
      <c r="I352" s="1417"/>
      <c r="J352" s="1417"/>
      <c r="K352" s="1419"/>
      <c r="L352" s="1417"/>
      <c r="M352" s="1417"/>
      <c r="N352" s="1417"/>
      <c r="O352" s="1417"/>
      <c r="P352" s="1427" t="str">
        <f t="shared" si="174"/>
        <v/>
      </c>
      <c r="Q352" s="1424"/>
      <c r="R352" s="1428" t="str">
        <f t="shared" si="175"/>
        <v/>
      </c>
      <c r="S352" s="1424"/>
      <c r="T352" s="1428" t="str">
        <f t="shared" ref="T352" si="176">IF(AND(L352="",M352="",N352="",O352=""),"",AVERAGE(L352:O352))</f>
        <v/>
      </c>
      <c r="U352" s="1426"/>
    </row>
    <row r="353" spans="2:21" ht="25.5" customHeight="1" thickBot="1">
      <c r="B353" s="1451">
        <v>20</v>
      </c>
      <c r="C353" s="1452"/>
      <c r="D353" s="1453"/>
      <c r="E353" s="1454"/>
      <c r="F353" s="1454"/>
      <c r="G353" s="1454"/>
      <c r="H353" s="1455"/>
      <c r="I353" s="1454"/>
      <c r="J353" s="1454"/>
      <c r="K353" s="1456"/>
      <c r="L353" s="1454"/>
      <c r="M353" s="1454"/>
      <c r="N353" s="1454"/>
      <c r="O353" s="1454"/>
      <c r="P353" s="1435" t="str">
        <f>IF(AND(D353="",E353="",F353="",G353=""),"",AVERAGE(D353:G353))</f>
        <v/>
      </c>
      <c r="Q353" s="1436"/>
      <c r="R353" s="1437" t="str">
        <f>IF(AND(H353="",I353="",J353="",K353=""),"",AVERAGE(H353:K353))</f>
        <v/>
      </c>
      <c r="S353" s="1436"/>
      <c r="T353" s="1437" t="str">
        <f>IF(AND(L353="",M353="",N353="",O353=""),"",AVERAGE(L353:O353))</f>
        <v/>
      </c>
      <c r="U353" s="1438"/>
    </row>
    <row r="354" spans="2:21" ht="25.5" customHeight="1" thickTop="1">
      <c r="B354" s="1403">
        <v>21</v>
      </c>
      <c r="C354" s="1404" t="s">
        <v>297</v>
      </c>
      <c r="D354" s="1405"/>
      <c r="E354" s="1406"/>
      <c r="F354" s="1406"/>
      <c r="G354" s="1406"/>
      <c r="H354" s="1407"/>
      <c r="I354" s="1406"/>
      <c r="J354" s="1406"/>
      <c r="K354" s="1408"/>
      <c r="L354" s="1406"/>
      <c r="M354" s="1406"/>
      <c r="N354" s="1406"/>
      <c r="O354" s="1406"/>
      <c r="P354" s="1445" t="str">
        <f>IF(AND(D354="",E354="",F354="",G354=""),"",AVERAGE(D354:G354))</f>
        <v/>
      </c>
      <c r="Q354" s="1726" t="e">
        <v>#N/A</v>
      </c>
      <c r="R354" s="1447" t="str">
        <f>IF(AND(H354="",I354="",J354="",K354=""),"",AVERAGE(H354:K354))</f>
        <v/>
      </c>
      <c r="S354" s="1725" t="e">
        <v>#N/A</v>
      </c>
      <c r="T354" s="1412" t="str">
        <f>IF(AND(L354="",M354="",N354="",O354=""),"",AVERAGE(L354:O354))</f>
        <v/>
      </c>
      <c r="U354" s="1732" t="e">
        <v>#N/A</v>
      </c>
    </row>
    <row r="355" spans="2:21" ht="25.5" customHeight="1">
      <c r="B355" s="1414">
        <v>22</v>
      </c>
      <c r="C355" s="1415"/>
      <c r="D355" s="1416"/>
      <c r="E355" s="1417"/>
      <c r="F355" s="1417"/>
      <c r="G355" s="1417"/>
      <c r="H355" s="1418"/>
      <c r="I355" s="1417"/>
      <c r="J355" s="1417"/>
      <c r="K355" s="1419"/>
      <c r="L355" s="1417"/>
      <c r="M355" s="1417"/>
      <c r="N355" s="1417"/>
      <c r="O355" s="1417"/>
      <c r="P355" s="1420" t="str">
        <f>IF(AND(D355="",E355="",F355="",G355=""),"",AVERAGE(D355:G355))</f>
        <v/>
      </c>
      <c r="Q355" s="1421"/>
      <c r="R355" s="1410" t="str">
        <f>IF(AND(H355="",I355="",J355="",K355=""),"",AVERAGE(H355:K355))</f>
        <v/>
      </c>
      <c r="S355" s="1421"/>
      <c r="T355" s="1410" t="str">
        <f>IF(AND(L355="",M355="",N355="",O355=""),"",AVERAGE(L355:O355))</f>
        <v/>
      </c>
      <c r="U355" s="1422"/>
    </row>
    <row r="356" spans="2:21" ht="25.5" customHeight="1">
      <c r="B356" s="1414">
        <v>23</v>
      </c>
      <c r="C356" s="1415"/>
      <c r="D356" s="1416"/>
      <c r="E356" s="1417"/>
      <c r="F356" s="1417"/>
      <c r="G356" s="1417"/>
      <c r="H356" s="1418"/>
      <c r="I356" s="1417"/>
      <c r="J356" s="1417"/>
      <c r="K356" s="1419"/>
      <c r="L356" s="1417"/>
      <c r="M356" s="1417"/>
      <c r="N356" s="1417"/>
      <c r="O356" s="1417"/>
      <c r="P356" s="1423" t="str">
        <f t="shared" ref="P356:P357" si="177">IF(AND(D356="",E356="",F356="",G356=""),"",AVERAGE(D356:G356))</f>
        <v/>
      </c>
      <c r="Q356" s="1424"/>
      <c r="R356" s="1425" t="str">
        <f t="shared" ref="R356:R357" si="178">IF(AND(H356="",I356="",J356="",K356=""),"",AVERAGE(H356:K356))</f>
        <v/>
      </c>
      <c r="S356" s="1424"/>
      <c r="T356" s="1425" t="str">
        <f>IF(AND(L356="",M356="",N356="",O356=""),"",AVERAGE(L356:O356))</f>
        <v/>
      </c>
      <c r="U356" s="1426"/>
    </row>
    <row r="357" spans="2:21" ht="25.5" customHeight="1">
      <c r="B357" s="1414">
        <v>24</v>
      </c>
      <c r="C357" s="1415"/>
      <c r="D357" s="1416"/>
      <c r="E357" s="1417"/>
      <c r="F357" s="1417"/>
      <c r="G357" s="1417"/>
      <c r="H357" s="1418"/>
      <c r="I357" s="1417"/>
      <c r="J357" s="1417"/>
      <c r="K357" s="1419"/>
      <c r="L357" s="1417"/>
      <c r="M357" s="1417"/>
      <c r="N357" s="1417"/>
      <c r="O357" s="1417"/>
      <c r="P357" s="1427" t="str">
        <f t="shared" si="177"/>
        <v/>
      </c>
      <c r="Q357" s="1424"/>
      <c r="R357" s="1428" t="str">
        <f t="shared" si="178"/>
        <v/>
      </c>
      <c r="S357" s="1424"/>
      <c r="T357" s="1428" t="str">
        <f t="shared" ref="T357" si="179">IF(AND(L357="",M357="",N357="",O357=""),"",AVERAGE(L357:O357))</f>
        <v/>
      </c>
      <c r="U357" s="1426"/>
    </row>
    <row r="358" spans="2:21" ht="25.5" customHeight="1" thickBot="1">
      <c r="B358" s="1429">
        <v>25</v>
      </c>
      <c r="C358" s="1430"/>
      <c r="D358" s="1431"/>
      <c r="E358" s="1432"/>
      <c r="F358" s="1432"/>
      <c r="G358" s="1432"/>
      <c r="H358" s="1433"/>
      <c r="I358" s="1432"/>
      <c r="J358" s="1432"/>
      <c r="K358" s="1434"/>
      <c r="L358" s="1432"/>
      <c r="M358" s="1432"/>
      <c r="N358" s="1432"/>
      <c r="O358" s="1432"/>
      <c r="P358" s="1435" t="str">
        <f>IF(AND(D358="",E358="",F358="",G358=""),"",AVERAGE(D358:G358))</f>
        <v/>
      </c>
      <c r="Q358" s="1436"/>
      <c r="R358" s="1437" t="str">
        <f>IF(AND(H358="",I358="",J358="",K358=""),"",AVERAGE(H358:K358))</f>
        <v/>
      </c>
      <c r="S358" s="1436"/>
      <c r="T358" s="1437" t="str">
        <f>IF(AND(L358="",M358="",N358="",O358=""),"",AVERAGE(L358:O358))</f>
        <v/>
      </c>
      <c r="U358" s="1438"/>
    </row>
    <row r="359" spans="2:21" ht="25.5" customHeight="1" thickTop="1">
      <c r="B359" s="1439">
        <v>26</v>
      </c>
      <c r="C359" s="1440" t="s">
        <v>298</v>
      </c>
      <c r="D359" s="1441"/>
      <c r="E359" s="1442"/>
      <c r="F359" s="1442"/>
      <c r="G359" s="1442"/>
      <c r="H359" s="1443"/>
      <c r="I359" s="1442"/>
      <c r="J359" s="1442"/>
      <c r="K359" s="1444"/>
      <c r="L359" s="1442"/>
      <c r="M359" s="1442"/>
      <c r="N359" s="1442"/>
      <c r="O359" s="1442"/>
      <c r="P359" s="1445" t="str">
        <f>IF(AND(D359="",E359="",F359="",G359=""),"",AVERAGE(D359:G359))</f>
        <v/>
      </c>
      <c r="Q359" s="1446" t="e">
        <v>#N/A</v>
      </c>
      <c r="R359" s="1447" t="str">
        <f>IF(AND(H359="",I359="",J359="",K359=""),"",AVERAGE(H359:K359))</f>
        <v/>
      </c>
      <c r="S359" s="1448" t="e">
        <v>#N/A</v>
      </c>
      <c r="T359" s="1412" t="str">
        <f>IF(AND(L359="",M359="",N359="",O359=""),"",AVERAGE(L359:O359))</f>
        <v/>
      </c>
      <c r="U359" s="1449" t="e">
        <v>#N/A</v>
      </c>
    </row>
    <row r="360" spans="2:21" ht="25.5" customHeight="1">
      <c r="B360" s="1414">
        <v>27</v>
      </c>
      <c r="C360" s="1415"/>
      <c r="D360" s="1416"/>
      <c r="E360" s="1417"/>
      <c r="F360" s="1417"/>
      <c r="G360" s="1417"/>
      <c r="H360" s="1418"/>
      <c r="I360" s="1417"/>
      <c r="J360" s="1417"/>
      <c r="K360" s="1419"/>
      <c r="L360" s="1417"/>
      <c r="M360" s="1417"/>
      <c r="N360" s="1417"/>
      <c r="O360" s="1417"/>
      <c r="P360" s="1420" t="str">
        <f>IF(AND(D360="",E360="",F360="",G360=""),"",AVERAGE(D360:G360))</f>
        <v/>
      </c>
      <c r="Q360" s="1421"/>
      <c r="R360" s="1410" t="str">
        <f>IF(AND(H360="",I360="",J360="",K360=""),"",AVERAGE(H360:K360))</f>
        <v/>
      </c>
      <c r="S360" s="1421"/>
      <c r="T360" s="1410" t="str">
        <f>IF(AND(L360="",M360="",N360="",O360=""),"",AVERAGE(L360:O360))</f>
        <v/>
      </c>
      <c r="U360" s="1422"/>
    </row>
    <row r="361" spans="2:21" ht="25.5" customHeight="1">
      <c r="B361" s="1414">
        <v>28</v>
      </c>
      <c r="C361" s="1415"/>
      <c r="D361" s="1416"/>
      <c r="E361" s="1417"/>
      <c r="F361" s="1417"/>
      <c r="G361" s="1417"/>
      <c r="H361" s="1418"/>
      <c r="I361" s="1417"/>
      <c r="J361" s="1417"/>
      <c r="K361" s="1419"/>
      <c r="L361" s="1417"/>
      <c r="M361" s="1417"/>
      <c r="N361" s="1417"/>
      <c r="O361" s="1417"/>
      <c r="P361" s="1423" t="str">
        <f t="shared" ref="P361:P362" si="180">IF(AND(D361="",E361="",F361="",G361=""),"",AVERAGE(D361:G361))</f>
        <v/>
      </c>
      <c r="Q361" s="1424"/>
      <c r="R361" s="1425" t="str">
        <f t="shared" ref="R361:R362" si="181">IF(AND(H361="",I361="",J361="",K361=""),"",AVERAGE(H361:K361))</f>
        <v/>
      </c>
      <c r="S361" s="1424"/>
      <c r="T361" s="1425" t="str">
        <f>IF(AND(L361="",M361="",N361="",O361=""),"",AVERAGE(L361:O361))</f>
        <v/>
      </c>
      <c r="U361" s="1426"/>
    </row>
    <row r="362" spans="2:21" ht="25.5" customHeight="1">
      <c r="B362" s="1414">
        <v>29</v>
      </c>
      <c r="C362" s="1415"/>
      <c r="D362" s="1416"/>
      <c r="E362" s="1417"/>
      <c r="F362" s="1417"/>
      <c r="G362" s="1417"/>
      <c r="H362" s="1418"/>
      <c r="I362" s="1417"/>
      <c r="J362" s="1417"/>
      <c r="K362" s="1419"/>
      <c r="L362" s="1417"/>
      <c r="M362" s="1417"/>
      <c r="N362" s="1417"/>
      <c r="O362" s="1417"/>
      <c r="P362" s="1427" t="str">
        <f t="shared" si="180"/>
        <v/>
      </c>
      <c r="Q362" s="1424"/>
      <c r="R362" s="1428" t="str">
        <f t="shared" si="181"/>
        <v/>
      </c>
      <c r="S362" s="1424"/>
      <c r="T362" s="1428" t="str">
        <f t="shared" ref="T362" si="182">IF(AND(L362="",M362="",N362="",O362=""),"",AVERAGE(L362:O362))</f>
        <v/>
      </c>
      <c r="U362" s="1426"/>
    </row>
    <row r="363" spans="2:21" ht="25.5" customHeight="1">
      <c r="B363" s="1414">
        <v>30</v>
      </c>
      <c r="C363" s="1415"/>
      <c r="D363" s="1416"/>
      <c r="E363" s="1417"/>
      <c r="F363" s="1417"/>
      <c r="G363" s="1417"/>
      <c r="H363" s="1418"/>
      <c r="I363" s="1417"/>
      <c r="J363" s="1417"/>
      <c r="K363" s="1419"/>
      <c r="L363" s="1417"/>
      <c r="M363" s="1417"/>
      <c r="N363" s="1417"/>
      <c r="O363" s="1417"/>
      <c r="P363" s="1427" t="str">
        <f>IF(AND(D363="",E363="",F363="",G363=""),"",AVERAGE(D363:G363))</f>
        <v/>
      </c>
      <c r="Q363" s="1424"/>
      <c r="R363" s="1428" t="str">
        <f>IF(AND(H363="",I363="",J363="",K363=""),"",AVERAGE(H363:K363))</f>
        <v/>
      </c>
      <c r="S363" s="1424"/>
      <c r="T363" s="1428" t="str">
        <f>IF(AND(L363="",M363="",N363="",O363=""),"",AVERAGE(L363:O363))</f>
        <v/>
      </c>
      <c r="U363" s="1457"/>
    </row>
    <row r="364" spans="2:21" ht="25.5" customHeight="1" thickBot="1">
      <c r="B364" s="1451">
        <v>31</v>
      </c>
      <c r="C364" s="1452"/>
      <c r="D364" s="1453"/>
      <c r="E364" s="1454"/>
      <c r="F364" s="1454"/>
      <c r="G364" s="1454"/>
      <c r="H364" s="1455"/>
      <c r="I364" s="1454"/>
      <c r="J364" s="1454"/>
      <c r="K364" s="1456"/>
      <c r="L364" s="1454"/>
      <c r="M364" s="1454"/>
      <c r="N364" s="1454"/>
      <c r="O364" s="1454"/>
      <c r="P364" s="1427" t="str">
        <f>IF(AND(D364="",E364="",F364="",G364=""),"",AVERAGE(D364:G364))</f>
        <v/>
      </c>
      <c r="Q364" s="1458"/>
      <c r="R364" s="1435" t="str">
        <f>IF(AND(H364="",I364="",J364="",K364=""),"",AVERAGE(H364:K364))</f>
        <v/>
      </c>
      <c r="S364" s="1458"/>
      <c r="T364" s="1435" t="str">
        <f>IF(AND(L364="",M364="",N364="",O364=""),"",AVERAGE(L364:O364))</f>
        <v/>
      </c>
      <c r="U364" s="1426"/>
    </row>
    <row r="365" spans="2:21" ht="25.5" customHeight="1" thickTop="1">
      <c r="B365" s="1403">
        <v>1</v>
      </c>
      <c r="C365" s="1404" t="s">
        <v>299</v>
      </c>
      <c r="D365" s="1405"/>
      <c r="E365" s="1406"/>
      <c r="F365" s="1406"/>
      <c r="G365" s="1406"/>
      <c r="H365" s="1407"/>
      <c r="I365" s="1406"/>
      <c r="J365" s="1406"/>
      <c r="K365" s="1408"/>
      <c r="L365" s="1406"/>
      <c r="M365" s="1406"/>
      <c r="N365" s="1406"/>
      <c r="O365" s="1406"/>
      <c r="P365" s="1445" t="str">
        <f>IF(AND(D365="",E365="",F365="",G365=""),"",AVERAGE(D365:G365))</f>
        <v/>
      </c>
      <c r="Q365" s="1446" t="e">
        <v>#N/A</v>
      </c>
      <c r="R365" s="1412" t="str">
        <f>IF(AND(H365="",I365="",J365="",K365=""),"",AVERAGE(H365:K365))</f>
        <v/>
      </c>
      <c r="S365" s="1448" t="e">
        <v>#N/A</v>
      </c>
      <c r="T365" s="1412" t="str">
        <f>IF(AND(L365="",M365="",N365="",O365=""),"",AVERAGE(L365:O365))</f>
        <v/>
      </c>
      <c r="U365" s="1449" t="e">
        <v>#N/A</v>
      </c>
    </row>
    <row r="366" spans="2:21" ht="25.5" customHeight="1">
      <c r="B366" s="1414">
        <v>2</v>
      </c>
      <c r="C366" s="1415"/>
      <c r="D366" s="1416"/>
      <c r="E366" s="1417"/>
      <c r="F366" s="1417"/>
      <c r="G366" s="1417"/>
      <c r="H366" s="1418"/>
      <c r="I366" s="1417"/>
      <c r="J366" s="1417"/>
      <c r="K366" s="1419"/>
      <c r="L366" s="1417"/>
      <c r="M366" s="1417"/>
      <c r="N366" s="1417"/>
      <c r="O366" s="1417"/>
      <c r="P366" s="1420" t="str">
        <f>IF(AND(D366="",E366="",F366="",G366=""),"",AVERAGE(D366:G366))</f>
        <v/>
      </c>
      <c r="Q366" s="1421"/>
      <c r="R366" s="1410" t="str">
        <f>IF(AND(H366="",I366="",J366="",K366=""),"",AVERAGE(H366:K366))</f>
        <v/>
      </c>
      <c r="S366" s="1421"/>
      <c r="T366" s="1410" t="str">
        <f>IF(AND(L366="",M366="",N366="",O366=""),"",AVERAGE(L366:O366))</f>
        <v/>
      </c>
      <c r="U366" s="1422"/>
    </row>
    <row r="367" spans="2:21" ht="25.5" customHeight="1">
      <c r="B367" s="1414">
        <v>3</v>
      </c>
      <c r="C367" s="1415"/>
      <c r="D367" s="1416"/>
      <c r="E367" s="1417"/>
      <c r="F367" s="1417"/>
      <c r="G367" s="1417"/>
      <c r="H367" s="1418"/>
      <c r="I367" s="1417"/>
      <c r="J367" s="1417"/>
      <c r="K367" s="1419"/>
      <c r="L367" s="1417"/>
      <c r="M367" s="1417"/>
      <c r="N367" s="1417"/>
      <c r="O367" s="1417"/>
      <c r="P367" s="1423" t="str">
        <f t="shared" ref="P367:P368" si="183">IF(AND(D367="",E367="",F367="",G367=""),"",AVERAGE(D367:G367))</f>
        <v/>
      </c>
      <c r="Q367" s="1424"/>
      <c r="R367" s="1425" t="str">
        <f t="shared" ref="R367:R368" si="184">IF(AND(H367="",I367="",J367="",K367=""),"",AVERAGE(H367:K367))</f>
        <v/>
      </c>
      <c r="S367" s="1424"/>
      <c r="T367" s="1425" t="str">
        <f>IF(AND(L367="",M367="",N367="",O367=""),"",AVERAGE(L367:O367))</f>
        <v/>
      </c>
      <c r="U367" s="1426"/>
    </row>
    <row r="368" spans="2:21" ht="25.5" customHeight="1">
      <c r="B368" s="1414">
        <v>4</v>
      </c>
      <c r="C368" s="1415"/>
      <c r="D368" s="1416"/>
      <c r="E368" s="1417"/>
      <c r="F368" s="1417"/>
      <c r="G368" s="1417"/>
      <c r="H368" s="1418"/>
      <c r="I368" s="1417"/>
      <c r="J368" s="1417"/>
      <c r="K368" s="1419"/>
      <c r="L368" s="1417"/>
      <c r="M368" s="1417"/>
      <c r="N368" s="1417"/>
      <c r="O368" s="1417"/>
      <c r="P368" s="1427" t="str">
        <f t="shared" si="183"/>
        <v/>
      </c>
      <c r="Q368" s="1424"/>
      <c r="R368" s="1428" t="str">
        <f t="shared" si="184"/>
        <v/>
      </c>
      <c r="S368" s="1424"/>
      <c r="T368" s="1428" t="str">
        <f t="shared" ref="T368" si="185">IF(AND(L368="",M368="",N368="",O368=""),"",AVERAGE(L368:O368))</f>
        <v/>
      </c>
      <c r="U368" s="1426"/>
    </row>
    <row r="369" spans="2:21" ht="25.5" customHeight="1" thickBot="1">
      <c r="B369" s="1460">
        <v>5</v>
      </c>
      <c r="C369" s="1461"/>
      <c r="D369" s="1462"/>
      <c r="E369" s="1463"/>
      <c r="F369" s="1463"/>
      <c r="G369" s="1463"/>
      <c r="H369" s="1464"/>
      <c r="I369" s="1463"/>
      <c r="J369" s="1463"/>
      <c r="K369" s="1465"/>
      <c r="L369" s="1463"/>
      <c r="M369" s="1463"/>
      <c r="N369" s="1463"/>
      <c r="O369" s="1463"/>
      <c r="P369" s="1466" t="str">
        <f>IF(AND(D369="",E369="",F369="",G369=""),"",AVERAGE(D369:G369))</f>
        <v/>
      </c>
      <c r="Q369" s="1468"/>
      <c r="R369" s="1467" t="str">
        <f>IF(AND(H369="",I369="",J369="",K369=""),"",AVERAGE(H369:K369))</f>
        <v/>
      </c>
      <c r="S369" s="1468"/>
      <c r="T369" s="1467" t="str">
        <f>IF(AND(L369="",M369="",N369="",O369=""),"",AVERAGE(L369:O369))</f>
        <v/>
      </c>
      <c r="U369" s="1469"/>
    </row>
  </sheetData>
  <mergeCells count="135">
    <mergeCell ref="U291:U292"/>
    <mergeCell ref="L290:O290"/>
    <mergeCell ref="P290:Q290"/>
    <mergeCell ref="R290:S290"/>
    <mergeCell ref="T290:U290"/>
    <mergeCell ref="P291:P292"/>
    <mergeCell ref="Q291:Q292"/>
    <mergeCell ref="R291:R292"/>
    <mergeCell ref="U332:U333"/>
    <mergeCell ref="L331:O331"/>
    <mergeCell ref="P331:Q331"/>
    <mergeCell ref="R331:S331"/>
    <mergeCell ref="T331:U331"/>
    <mergeCell ref="P332:P333"/>
    <mergeCell ref="Q332:Q333"/>
    <mergeCell ref="R332:R333"/>
    <mergeCell ref="S291:S292"/>
    <mergeCell ref="T291:T292"/>
    <mergeCell ref="B289:G289"/>
    <mergeCell ref="B290:B292"/>
    <mergeCell ref="C290:C292"/>
    <mergeCell ref="D290:G290"/>
    <mergeCell ref="H290:K290"/>
    <mergeCell ref="S250:S251"/>
    <mergeCell ref="T250:T251"/>
    <mergeCell ref="S332:S333"/>
    <mergeCell ref="T332:T333"/>
    <mergeCell ref="B330:G330"/>
    <mergeCell ref="B331:B333"/>
    <mergeCell ref="C331:C333"/>
    <mergeCell ref="D331:G331"/>
    <mergeCell ref="H331:K331"/>
    <mergeCell ref="B248:G248"/>
    <mergeCell ref="B249:B251"/>
    <mergeCell ref="C249:C251"/>
    <mergeCell ref="D249:G249"/>
    <mergeCell ref="H249:K249"/>
    <mergeCell ref="S209:S210"/>
    <mergeCell ref="T209:T210"/>
    <mergeCell ref="U250:U251"/>
    <mergeCell ref="L249:O249"/>
    <mergeCell ref="P249:Q249"/>
    <mergeCell ref="R249:S249"/>
    <mergeCell ref="T249:U249"/>
    <mergeCell ref="P250:P251"/>
    <mergeCell ref="Q250:Q251"/>
    <mergeCell ref="R250:R251"/>
    <mergeCell ref="B207:G207"/>
    <mergeCell ref="B208:B210"/>
    <mergeCell ref="C208:C210"/>
    <mergeCell ref="D208:G208"/>
    <mergeCell ref="H208:K208"/>
    <mergeCell ref="S168:S169"/>
    <mergeCell ref="T168:T169"/>
    <mergeCell ref="U209:U210"/>
    <mergeCell ref="L208:O208"/>
    <mergeCell ref="P208:Q208"/>
    <mergeCell ref="R208:S208"/>
    <mergeCell ref="T208:U208"/>
    <mergeCell ref="P209:P210"/>
    <mergeCell ref="Q209:Q210"/>
    <mergeCell ref="R209:R210"/>
    <mergeCell ref="B166:G166"/>
    <mergeCell ref="B167:B169"/>
    <mergeCell ref="C167:C169"/>
    <mergeCell ref="D167:G167"/>
    <mergeCell ref="H167:K167"/>
    <mergeCell ref="S127:S128"/>
    <mergeCell ref="T127:T128"/>
    <mergeCell ref="U168:U169"/>
    <mergeCell ref="L167:O167"/>
    <mergeCell ref="P167:Q167"/>
    <mergeCell ref="R167:S167"/>
    <mergeCell ref="T167:U167"/>
    <mergeCell ref="P168:P169"/>
    <mergeCell ref="Q168:Q169"/>
    <mergeCell ref="R168:R169"/>
    <mergeCell ref="B125:G125"/>
    <mergeCell ref="B126:B128"/>
    <mergeCell ref="C126:C128"/>
    <mergeCell ref="D126:G126"/>
    <mergeCell ref="H126:K126"/>
    <mergeCell ref="S86:S87"/>
    <mergeCell ref="T86:T87"/>
    <mergeCell ref="U127:U128"/>
    <mergeCell ref="L126:O126"/>
    <mergeCell ref="P126:Q126"/>
    <mergeCell ref="R126:S126"/>
    <mergeCell ref="T126:U126"/>
    <mergeCell ref="P127:P128"/>
    <mergeCell ref="Q127:Q128"/>
    <mergeCell ref="R127:R128"/>
    <mergeCell ref="B84:G84"/>
    <mergeCell ref="B85:B87"/>
    <mergeCell ref="C85:C87"/>
    <mergeCell ref="D85:G85"/>
    <mergeCell ref="H85:K85"/>
    <mergeCell ref="S45:S46"/>
    <mergeCell ref="T45:T46"/>
    <mergeCell ref="U86:U87"/>
    <mergeCell ref="L85:O85"/>
    <mergeCell ref="P85:Q85"/>
    <mergeCell ref="R85:S85"/>
    <mergeCell ref="T85:U85"/>
    <mergeCell ref="P86:P87"/>
    <mergeCell ref="Q86:Q87"/>
    <mergeCell ref="R86:R87"/>
    <mergeCell ref="B43:G43"/>
    <mergeCell ref="B44:B46"/>
    <mergeCell ref="C44:C46"/>
    <mergeCell ref="D44:G44"/>
    <mergeCell ref="H44:K44"/>
    <mergeCell ref="S4:S5"/>
    <mergeCell ref="T4:T5"/>
    <mergeCell ref="U45:U46"/>
    <mergeCell ref="L44:O44"/>
    <mergeCell ref="P44:Q44"/>
    <mergeCell ref="R44:S44"/>
    <mergeCell ref="T44:U44"/>
    <mergeCell ref="P45:P46"/>
    <mergeCell ref="Q45:Q46"/>
    <mergeCell ref="R45:R46"/>
    <mergeCell ref="B2:G2"/>
    <mergeCell ref="B3:B5"/>
    <mergeCell ref="C3:C5"/>
    <mergeCell ref="D3:G3"/>
    <mergeCell ref="H3:K3"/>
    <mergeCell ref="U4:U5"/>
    <mergeCell ref="L3:O3"/>
    <mergeCell ref="P3:Q3"/>
    <mergeCell ref="R3:S3"/>
    <mergeCell ref="T3:U3"/>
    <mergeCell ref="P4:P5"/>
    <mergeCell ref="Q4:Q5"/>
    <mergeCell ref="R4:R5"/>
  </mergeCells>
  <phoneticPr fontId="2"/>
  <dataValidations count="1">
    <dataValidation type="list" allowBlank="1" showInputMessage="1" showErrorMessage="1" sqref="C6:C41 C47:C82 C334:C369 C129:C164 C170:C205 C88:C123 C211:C246 C293:C328 C252:C287" xr:uid="{00000000-0002-0000-0A00-000001000000}">
      <formula1>"1半旬,2半旬,3半旬,4半旬,5半旬,6半旬,−"</formula1>
    </dataValidation>
  </dataValidations>
  <pageMargins left="0.25" right="0.25" top="0.75" bottom="0.75" header="0.3" footer="0.3"/>
  <pageSetup paperSize="9" scale="55" orientation="portrait" r:id="rId1"/>
  <headerFooter alignWithMargins="0"/>
  <legacy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21</vt:i4>
      </vt:variant>
      <vt:variant>
        <vt:lpstr>名前付き一覧</vt:lpstr>
      </vt:variant>
      <vt:variant>
        <vt:i4>9</vt:i4>
      </vt:variant>
    </vt:vector>
  </HeadingPairs>
  <TitlesOfParts>
    <vt:vector size="30" baseType="lpstr">
      <vt:lpstr>HP用グラフ </vt:lpstr>
      <vt:lpstr>ハダニ野帳</vt:lpstr>
      <vt:lpstr>ハダニ</vt:lpstr>
      <vt:lpstr>ハダニ産卵</vt:lpstr>
      <vt:lpstr>フェロモントラップ野帳</vt:lpstr>
      <vt:lpstr>ホソガ</vt:lpstr>
      <vt:lpstr>コカクモンSE</vt:lpstr>
      <vt:lpstr>チャハマキ</vt:lpstr>
      <vt:lpstr>黄色IT野帳</vt:lpstr>
      <vt:lpstr>YTR</vt:lpstr>
      <vt:lpstr>チャトゲ</vt:lpstr>
      <vt:lpstr>カイガラ第1世代</vt:lpstr>
      <vt:lpstr>カイガラ第2世代</vt:lpstr>
      <vt:lpstr>病害</vt:lpstr>
      <vt:lpstr>その他害虫</vt:lpstr>
      <vt:lpstr>コカクモンAS（2019まで</vt:lpstr>
      <vt:lpstr>アザミウマ</vt:lpstr>
      <vt:lpstr>ヨコバイ</vt:lpstr>
      <vt:lpstr>大台</vt:lpstr>
      <vt:lpstr>Sheet1</vt:lpstr>
      <vt:lpstr>コカクモンハマキデータ（３月捕虫）</vt:lpstr>
      <vt:lpstr>'HP用グラフ '!Print_Area</vt:lpstr>
      <vt:lpstr>アザミウマ!Print_Area</vt:lpstr>
      <vt:lpstr>カイガラ第2世代!Print_Area</vt:lpstr>
      <vt:lpstr>コカクモンSE!Print_Area</vt:lpstr>
      <vt:lpstr>ハダニ!Print_Area</vt:lpstr>
      <vt:lpstr>ヨコバイ!Print_Area</vt:lpstr>
      <vt:lpstr>黄色IT野帳!Print_Area</vt:lpstr>
      <vt:lpstr>カイガラ第1世代!Print_Titles</vt:lpstr>
      <vt:lpstr>カイガラ第2世代!Print_Titles</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